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Assumptions" sheetId="2" state="visible" r:id="rId4"/>
    <sheet name="Capex" sheetId="3" state="visible" r:id="rId5"/>
    <sheet name="Revenue" sheetId="4" state="visible" r:id="rId6"/>
    <sheet name="Opex" sheetId="5" state="visible" r:id="rId7"/>
    <sheet name="P&amp;L" sheetId="6" state="visible" r:id="rId8"/>
    <sheet name="Financing" sheetId="7" state="visible" r:id="rId9"/>
    <sheet name="Cash Flow" sheetId="8" state="visible" r:id="rId10"/>
    <sheet name="Returns" sheetId="9" state="visible" r:id="rId11"/>
    <sheet name="Endowment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<sst xmlns="http://schemas.openxmlformats.org/spreadsheetml/2006/main" count="470" uniqueCount="229">
  <si>
    <t xml:space="preserve">AKURE INTERNATIONAL MEDICAL VILLAGE (AIMV)</t>
  </si>
  <si>
    <t xml:space="preserve">30-Year Financial Feasibility Model — Prepared for the State of the African Diaspora (SOAD)</t>
  </si>
  <si>
    <t xml:space="preserve">Mid-case scale (~US$2.0bn) | All monetary values in US$ millions unless stated | Concept-stage planning model</t>
  </si>
  <si>
    <t xml:space="preserve">HOW TO USE THIS MODEL</t>
  </si>
  <si>
    <t xml:space="preserve">1. All editable inputs are on the 'Assumptions' sheet, shown in BLUE font. Key scenario levers have YELLOW fill.</t>
  </si>
  <si>
    <t xml:space="preserve">2. Every other sheet is fully formula-driven and recalculates automatically when Assumptions change.</t>
  </si>
  <si>
    <t xml:space="preserve">3. Black font = formulas on the same sheet. Green font = links to another sheet. Do not overwrite these.</t>
  </si>
  <si>
    <t xml:space="preserve">4. Sheet order: Assumptions -&gt; Capex -&gt; Revenue -&gt; Opex -&gt; P&amp;L -&gt; Financing -&gt; Cash Flow -&gt; Returns -&gt; Endowment.</t>
  </si>
  <si>
    <t xml:space="preserve">IMPORTANT NOTES</t>
  </si>
  <si>
    <t xml:space="preserve">- This is an indicative concept-stage model. All inputs are planning assumptions supplied by the project sponsor</t>
  </si>
  <si>
    <t xml:space="preserve">  and must be validated by the full Technical &amp; Financial Feasibility Study before investment decisions.</t>
  </si>
  <si>
    <t xml:space="preserve">- Government in-kind contribution (land/infrastructure) is included in sources but excluded from cash capex.</t>
  </si>
  <si>
    <t xml:space="preserve">- Diaspora Bond assumed refinanced at maturity; scenario IRRs on the Returns sheet are pre-tax and unlevered.</t>
  </si>
  <si>
    <t xml:space="preserve">- Tax assumes a pioneer-status holiday for the first five operating years (editable on Assumptions).</t>
  </si>
  <si>
    <t xml:space="preserve">ASSUMPTIONS — all model inputs (blue). Yellow = key scenario levers.</t>
  </si>
  <si>
    <t xml:space="preserve">TIMELINE</t>
  </si>
  <si>
    <t xml:space="preserve">Operations start year (Phase 1 opening)</t>
  </si>
  <si>
    <t xml:space="preserve">Hospital core opens</t>
  </si>
  <si>
    <t xml:space="preserve">Phase 2 expansion year (beds reach full count)</t>
  </si>
  <si>
    <t xml:space="preserve">Tax holiday: last exempt year (pioneer status)</t>
  </si>
  <si>
    <t xml:space="preserve">Zero tax through this year</t>
  </si>
  <si>
    <t xml:space="preserve">CAPACITY &amp; CLINICAL VOLUME</t>
  </si>
  <si>
    <t xml:space="preserve">Phase 1 beds</t>
  </si>
  <si>
    <t xml:space="preserve">Total beds from Phase 2</t>
  </si>
  <si>
    <t xml:space="preserve">Opening-year occupancy</t>
  </si>
  <si>
    <t xml:space="preserve">Occupancy ramp per year (pp)</t>
  </si>
  <si>
    <t xml:space="preserve">Maximum occupancy</t>
  </si>
  <si>
    <t xml:space="preserve">Blended net revenue per occupied bed-day (US$)</t>
  </si>
  <si>
    <t xml:space="preserve">Incl. surgery, ICU, oncology, diagnostics bundling</t>
  </si>
  <si>
    <t xml:space="preserve">Outpatient visits, opening year</t>
  </si>
  <si>
    <t xml:space="preserve">Outpatient visit growth p.a.</t>
  </si>
  <si>
    <t xml:space="preserve">Outpatient visit ceiling</t>
  </si>
  <si>
    <t xml:space="preserve">Average net revenue per outpatient visit (US$)</t>
  </si>
  <si>
    <t xml:space="preserve">Medical tariff escalation p.a.</t>
  </si>
  <si>
    <t xml:space="preserve">International/Diaspora share of clinical revenue</t>
  </si>
  <si>
    <t xml:space="preserve">NON-CLINICAL REVENUE (US$m in first full year; own growth rates)</t>
  </si>
  <si>
    <t xml:space="preserve">Education &amp; training (from Phase 2 year)</t>
  </si>
  <si>
    <t xml:space="preserve">  growth p.a.</t>
  </si>
  <si>
    <t xml:space="preserve">Research grants &amp; trials (from ops+3)</t>
  </si>
  <si>
    <t xml:space="preserve">Hospitality &amp; retail (from ops+1)</t>
  </si>
  <si>
    <t xml:space="preserve">Residential rents (from ops+1)</t>
  </si>
  <si>
    <t xml:space="preserve">Agricultural estate (from ops+1)</t>
  </si>
  <si>
    <t xml:space="preserve">Pharma manufacturing (from Phase 2 year)</t>
  </si>
  <si>
    <t xml:space="preserve">Utilities &amp; data services (from ops+1)</t>
  </si>
  <si>
    <t xml:space="preserve">OPERATING COSTS</t>
  </si>
  <si>
    <t xml:space="preserve">Staff costs, % of total revenue</t>
  </si>
  <si>
    <t xml:space="preserve">Clinical supplies &amp; drugs, % of clinical revenue</t>
  </si>
  <si>
    <t xml:space="preserve">Other operating costs, % of total revenue</t>
  </si>
  <si>
    <t xml:space="preserve">Maintenance, % of cumulative capex p.a.</t>
  </si>
  <si>
    <t xml:space="preserve">CAPEX (US$m) — phase envelopes spread evenly across build windows</t>
  </si>
  <si>
    <t xml:space="preserve">Phase 0: planning, ESIA, land works (2027-2028)</t>
  </si>
  <si>
    <t xml:space="preserve">Phase 1: hospital core &amp; utilities (2027-2031)</t>
  </si>
  <si>
    <t xml:space="preserve">Phase 2: expansion &amp; academic campus (2032-2035)</t>
  </si>
  <si>
    <t xml:space="preserve">Phase 3: innovation &amp; city build-out (2036-2039)</t>
  </si>
  <si>
    <t xml:space="preserve">Ongoing/replacement capex, % of cum. build capex (from 2032)</t>
  </si>
  <si>
    <t xml:space="preserve">Depreciation, % of cumulative capex (straight line)</t>
  </si>
  <si>
    <t xml:space="preserve">FUNDING MIX (% of total sources)</t>
  </si>
  <si>
    <t xml:space="preserve">SOAD anchor investment</t>
  </si>
  <si>
    <t xml:space="preserve">Diaspora Bond Programme</t>
  </si>
  <si>
    <t xml:space="preserve">Diaspora &amp; strategic equity</t>
  </si>
  <si>
    <t xml:space="preserve">DFI debt</t>
  </si>
  <si>
    <t xml:space="preserve">Commercial debt</t>
  </si>
  <si>
    <t xml:space="preserve">Government in-kind (land/infrastructure)</t>
  </si>
  <si>
    <t xml:space="preserve">Non-cash; excluded from cash capex</t>
  </si>
  <si>
    <t xml:space="preserve">FINANCING TERMS</t>
  </si>
  <si>
    <t xml:space="preserve">Blended debt interest rate</t>
  </si>
  <si>
    <t xml:space="preserve">Debt repayment start year</t>
  </si>
  <si>
    <t xml:space="preserve">Debt amortization years (equal principal)</t>
  </si>
  <si>
    <t xml:space="preserve">Diaspora Bond coupon</t>
  </si>
  <si>
    <t xml:space="preserve">Diaspora Bond maturity year (bullet, assumed refinanced)</t>
  </si>
  <si>
    <t xml:space="preserve">Corporate tax rate (post-holiday)</t>
  </si>
  <si>
    <t xml:space="preserve">Discount rate for NPV</t>
  </si>
  <si>
    <t xml:space="preserve">ENDOWMENT FUND</t>
  </si>
  <si>
    <t xml:space="preserve">Agricultural net margin</t>
  </si>
  <si>
    <t xml:space="preserve">Share of agri net income dedicated to Fund</t>
  </si>
  <si>
    <t xml:space="preserve">Levy on international patient revenue</t>
  </si>
  <si>
    <t xml:space="preserve">CAPITAL EXPENDITURE SCHEDULE (US$m)</t>
  </si>
  <si>
    <t xml:space="preserve">Line item</t>
  </si>
  <si>
    <t xml:space="preserve">Units/Notes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</si>
  <si>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</si>
  <si>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</si>
  <si>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</si>
  <si>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</si>
  <si>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</si>
  <si>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</si>
  <si>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</si>
  <si>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</si>
  <si>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</si>
  <si>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</si>
  <si>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</si>
  <si>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</si>
  <si>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</si>
  <si>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</si>
  <si>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</si>
  <si>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</si>
  <si>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</si>
  <si>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</si>
  <si>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</si>
  <si>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</si>
  <si>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</si>
  <si>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</si>
  <si>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</si>
  <si>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</si>
  <si>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</si>
  <si>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</si>
  <si>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</si>
  <si>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</si>
  <si>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</si>
  <si>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</si>
  <si>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Phase 0 (2027-2028)</t>
  </si>
  <si>
    <t xml:space="preserve">even spread</t>
  </si>
  <si>
    <t xml:space="preserve">Phase 1 (2027-2031)</t>
  </si>
  <si>
    <t xml:space="preserve">Phase 2 (2032-2035)</t>
  </si>
  <si>
    <t xml:space="preserve">Phase 3 (2036-2039)</t>
  </si>
  <si>
    <t xml:space="preserve">Ongoing &amp; replacement capex</t>
  </si>
  <si>
    <t xml:space="preserve">% of cum. build capex</t>
  </si>
  <si>
    <t xml:space="preserve">Build capex subtotal</t>
  </si>
  <si>
    <t xml:space="preserve">Total capex</t>
  </si>
  <si>
    <t xml:space="preserve">Cumulative capex</t>
  </si>
  <si>
    <t xml:space="preserve">REVENUE BUILD (US$m)</t>
  </si>
  <si>
    <t xml:space="preserve">Operating year index</t>
  </si>
  <si>
    <t xml:space="preserve">0 = pre-opening</t>
  </si>
  <si>
    <t xml:space="preserve">Licensed beds</t>
  </si>
  <si>
    <t xml:space="preserve">Occupancy</t>
  </si>
  <si>
    <t xml:space="preserve">Occupied bed-days ('000)</t>
  </si>
  <si>
    <t xml:space="preserve">Net revenue per bed-day (US$)</t>
  </si>
  <si>
    <t xml:space="preserve">escalated</t>
  </si>
  <si>
    <t xml:space="preserve">Inpatient &amp; procedures revenue</t>
  </si>
  <si>
    <t xml:space="preserve">Outpatient visits ('000)</t>
  </si>
  <si>
    <t xml:space="preserve">Outpatient revenue</t>
  </si>
  <si>
    <t xml:space="preserve">Clinical revenue</t>
  </si>
  <si>
    <t xml:space="preserve">Education &amp; training</t>
  </si>
  <si>
    <t xml:space="preserve">Research grants &amp; clinical trials</t>
  </si>
  <si>
    <t xml:space="preserve">Hospitality &amp; retail</t>
  </si>
  <si>
    <t xml:space="preserve">Residential rents</t>
  </si>
  <si>
    <t xml:space="preserve">Agricultural estate</t>
  </si>
  <si>
    <t xml:space="preserve">Pharmaceutical manufacturing</t>
  </si>
  <si>
    <t xml:space="preserve">Utilities &amp; data services</t>
  </si>
  <si>
    <t xml:space="preserve">Non-clinical revenue</t>
  </si>
  <si>
    <t xml:space="preserve">TOTAL REVENUE</t>
  </si>
  <si>
    <t xml:space="preserve">OPERATING COSTS (US$m)</t>
  </si>
  <si>
    <t xml:space="preserve">Staff costs</t>
  </si>
  <si>
    <t xml:space="preserve">% of total revenue</t>
  </si>
  <si>
    <t xml:space="preserve">Clinical supplies &amp; drugs</t>
  </si>
  <si>
    <t xml:space="preserve">% of clinical revenue</t>
  </si>
  <si>
    <t xml:space="preserve">Other operating costs</t>
  </si>
  <si>
    <t xml:space="preserve">Maintenance</t>
  </si>
  <si>
    <t xml:space="preserve">% of cumulative capex</t>
  </si>
  <si>
    <t xml:space="preserve">TOTAL OPEX</t>
  </si>
  <si>
    <t xml:space="preserve">PROFIT &amp; LOSS (US$m)</t>
  </si>
  <si>
    <t xml:space="preserve">Total revenue</t>
  </si>
  <si>
    <t xml:space="preserve">Total opex</t>
  </si>
  <si>
    <t xml:space="preserve">EBITDA</t>
  </si>
  <si>
    <t xml:space="preserve">EBITDA margin</t>
  </si>
  <si>
    <t xml:space="preserve">Depreciation</t>
  </si>
  <si>
    <t xml:space="preserve">EBIT</t>
  </si>
  <si>
    <t xml:space="preserve">Interest expense (debt + bond)</t>
  </si>
  <si>
    <t xml:space="preserve">Profit before tax</t>
  </si>
  <si>
    <t xml:space="preserve">Tax</t>
  </si>
  <si>
    <t xml:space="preserve">holiday then statutory rate</t>
  </si>
  <si>
    <t xml:space="preserve">NET INCOME</t>
  </si>
  <si>
    <t xml:space="preserve">FINANCING SCHEDULES (US$m)</t>
  </si>
  <si>
    <t xml:space="preserve">Debt drawdowns</t>
  </si>
  <si>
    <t xml:space="preserve">DFI + commercial, pro-rata with build capex</t>
  </si>
  <si>
    <t xml:space="preserve">Debt principal repayment</t>
  </si>
  <si>
    <t xml:space="preserve">equal installments</t>
  </si>
  <si>
    <t xml:space="preserve">Debt opening balance</t>
  </si>
  <si>
    <t xml:space="preserve">Debt closing balance</t>
  </si>
  <si>
    <t xml:space="preserve">Debt interest</t>
  </si>
  <si>
    <t xml:space="preserve">rate x opening balance</t>
  </si>
  <si>
    <t xml:space="preserve">Bond drawdowns</t>
  </si>
  <si>
    <t xml:space="preserve">through Phase 1 window</t>
  </si>
  <si>
    <t xml:space="preserve">Bond redemption</t>
  </si>
  <si>
    <t xml:space="preserve">bullet; assumed refinanced</t>
  </si>
  <si>
    <t xml:space="preserve">Bond opening balance</t>
  </si>
  <si>
    <t xml:space="preserve">Bond closing balance</t>
  </si>
  <si>
    <t xml:space="preserve">Bond coupon</t>
  </si>
  <si>
    <t xml:space="preserve">Equity-type drawdowns</t>
  </si>
  <si>
    <t xml:space="preserve">SOAD + equity, pro-rata with build capex</t>
  </si>
  <si>
    <t xml:space="preserve">SOURCES &amp; USES SUMMARY (US$m)</t>
  </si>
  <si>
    <t xml:space="preserve">Source</t>
  </si>
  <si>
    <t xml:space="preserve">% of sources</t>
  </si>
  <si>
    <t xml:space="preserve">US$m</t>
  </si>
  <si>
    <t xml:space="preserve">Government in-kind</t>
  </si>
  <si>
    <t xml:space="preserve">Total sources</t>
  </si>
  <si>
    <t xml:space="preserve">CASH FLOW (US$m)</t>
  </si>
  <si>
    <t xml:space="preserve">Tax paid</t>
  </si>
  <si>
    <t xml:space="preserve">Cash capex</t>
  </si>
  <si>
    <t xml:space="preserve">build capex net of govt in-kind, plus ongoing capex</t>
  </si>
  <si>
    <t xml:space="preserve">Unlevered free cash flow</t>
  </si>
  <si>
    <t xml:space="preserve">Cumulative unlevered FCF</t>
  </si>
  <si>
    <t xml:space="preserve">Debt &amp; bond drawdowns</t>
  </si>
  <si>
    <t xml:space="preserve">Interest &amp; coupon paid</t>
  </si>
  <si>
    <t xml:space="preserve">Bond refinancing proceeds</t>
  </si>
  <si>
    <t xml:space="preserve">new facility at maturity</t>
  </si>
  <si>
    <t xml:space="preserve">Net cash flow before standby facility</t>
  </si>
  <si>
    <t xml:space="preserve">Standby facility: opening balance</t>
  </si>
  <si>
    <t xml:space="preserve">Standby facility: interest</t>
  </si>
  <si>
    <t xml:space="preserve">at blended debt rate</t>
  </si>
  <si>
    <t xml:space="preserve">Cash position pre-facility movement</t>
  </si>
  <si>
    <t xml:space="preserve">Standby facility: drawdown</t>
  </si>
  <si>
    <t xml:space="preserve">Standby facility: repayment</t>
  </si>
  <si>
    <t xml:space="preserve">Standby facility: closing balance</t>
  </si>
  <si>
    <t xml:space="preserve">CLOSING CASH BALANCE</t>
  </si>
  <si>
    <t xml:space="preserve">Equity holders' cash flow</t>
  </si>
  <si>
    <t xml:space="preserve">pre-facility; equity draws as outflow</t>
  </si>
  <si>
    <t xml:space="preserve">RETURNS &amp; SENSITIVITY</t>
  </si>
  <si>
    <t xml:space="preserve">Unlevered FCF — Base</t>
  </si>
  <si>
    <t xml:space="preserve">Unlevered pre-tax FCF — Low (rev x 0.85)</t>
  </si>
  <si>
    <t xml:space="preserve">Unlevered pre-tax FCF — High (rev x 1.15)</t>
  </si>
  <si>
    <t xml:space="preserve">KEY RESULTS</t>
  </si>
  <si>
    <t xml:space="preserve">Project IRR — Base (post-tax, unlevered)</t>
  </si>
  <si>
    <t xml:space="preserve">Project IRR — Low scenario (pre-tax)</t>
  </si>
  <si>
    <t xml:space="preserve">Project IRR — High scenario (pre-tax)</t>
  </si>
  <si>
    <t xml:space="preserve">NPV @ discount rate — Base (US$m)</t>
  </si>
  <si>
    <t xml:space="preserve">Equity IRR — Base (levered, post-tax)</t>
  </si>
  <si>
    <t xml:space="preserve">Payback (years of negative cumulative FCF)</t>
  </si>
  <si>
    <t xml:space="preserve">Stabilized revenue, 2040 (US$m)</t>
  </si>
  <si>
    <t xml:space="preserve">Mature revenue, 2050 (US$m)</t>
  </si>
  <si>
    <t xml:space="preserve">Stabilized EBITDA margin, 2040</t>
  </si>
  <si>
    <t xml:space="preserve">Peak standby/IDC facility required (US$m)</t>
  </si>
  <si>
    <t xml:space="preserve">COMMUNITY HEALTH ENDOWMENT FUND (US$m)</t>
  </si>
  <si>
    <t xml:space="preserve">Agricultural revenue</t>
  </si>
  <si>
    <t xml:space="preserve">Agricultural net income</t>
  </si>
  <si>
    <t xml:space="preserve">Dedicated to Fund</t>
  </si>
  <si>
    <t xml:space="preserve">International patient revenue</t>
  </si>
  <si>
    <t xml:space="preserve">Levy to Fund</t>
  </si>
  <si>
    <t xml:space="preserve">Annual Fund inflow</t>
  </si>
  <si>
    <t xml:space="preserve">Cumulative Fund (before investment returns &amp; grants)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</si>
</sst>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"/>
    <numFmt numFmtId="167" formatCode="#,##0.0;\(#,##0.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B57"/>
      <name val="Arial"/>
      <family val="0"/>
      <charset val="1"/>
    </font>
    <font>
      <sz val="12"/>
      <color rgb="FF595959"/>
      <name val="Arial"/>
      <family val="0"/>
      <charset val="1"/>
    </font>
    <font>
      <i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4"/>
      <color rgb="FF1F3B57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B57"/>
        <bgColor rgb="FF003366"/>
      </patternFill>
    </fill>
    <fill>
      <patternFill patternType="solid">
        <fgColor rgb="FFF2F2F2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9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5" hidden="false" customHeight="false" outlineLevel="0" collapsed="false">
      <c r="B6" s="4"/>
    </row>
    <row r="7" customFormat="false" ht="15" hidden="false" customHeight="false" outlineLevel="0" collapsed="false">
      <c r="B7" s="5" t="s">
        <v>3</v>
      </c>
    </row>
    <row r="8" customFormat="false" ht="15" hidden="false" customHeight="false" outlineLevel="0" collapsed="false">
      <c r="B8" s="4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5" t="s">
        <v>8</v>
      </c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4" t="s">
        <v>10</v>
      </c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4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221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222</v>
      </c>
      <c r="B4" s="8"/>
      <c r="C4" s="23" t="n">
        <f aca="false">Revenue!C17</f>
        <v>0</v>
      </c>
      <c r="D4" s="23" t="n">
        <f aca="false">Revenue!D17</f>
        <v>0</v>
      </c>
      <c r="E4" s="23" t="n">
        <f aca="false">Revenue!E17</f>
        <v>0</v>
      </c>
      <c r="F4" s="23" t="n">
        <f aca="false">Revenue!F17</f>
        <v>0</v>
      </c>
      <c r="G4" s="23" t="n">
        <f aca="false">Revenue!G17</f>
        <v>0</v>
      </c>
      <c r="H4" s="23" t="n">
        <f aca="false">Revenue!H17</f>
        <v>20</v>
      </c>
      <c r="I4" s="23" t="n">
        <f aca="false">Revenue!I17</f>
        <v>21.2</v>
      </c>
      <c r="J4" s="23" t="n">
        <f aca="false">Revenue!J17</f>
        <v>22.472</v>
      </c>
      <c r="K4" s="23" t="n">
        <f aca="false">Revenue!K17</f>
        <v>23.82032</v>
      </c>
      <c r="L4" s="23" t="n">
        <f aca="false">Revenue!L17</f>
        <v>25.2495392</v>
      </c>
      <c r="M4" s="23" t="n">
        <f aca="false">Revenue!M17</f>
        <v>26.764511552</v>
      </c>
      <c r="N4" s="23" t="n">
        <f aca="false">Revenue!N17</f>
        <v>28.37038224512</v>
      </c>
      <c r="O4" s="23" t="n">
        <f aca="false">Revenue!O17</f>
        <v>30.0726051798272</v>
      </c>
      <c r="P4" s="23" t="n">
        <f aca="false">Revenue!P17</f>
        <v>31.8769614906168</v>
      </c>
      <c r="Q4" s="23" t="n">
        <f aca="false">Revenue!Q17</f>
        <v>33.7895791800539</v>
      </c>
      <c r="R4" s="23" t="n">
        <f aca="false">Revenue!R17</f>
        <v>35.8169539308571</v>
      </c>
      <c r="S4" s="23" t="n">
        <f aca="false">Revenue!S17</f>
        <v>37.9659711667085</v>
      </c>
      <c r="T4" s="23" t="n">
        <f aca="false">Revenue!T17</f>
        <v>40.243929436711</v>
      </c>
      <c r="U4" s="23" t="n">
        <f aca="false">Revenue!U17</f>
        <v>42.6585652029137</v>
      </c>
      <c r="V4" s="23" t="n">
        <f aca="false">Revenue!V17</f>
        <v>45.2180791150885</v>
      </c>
      <c r="W4" s="23" t="n">
        <f aca="false">Revenue!W17</f>
        <v>47.9311638619938</v>
      </c>
      <c r="X4" s="23" t="n">
        <f aca="false">Revenue!X17</f>
        <v>50.8070336937135</v>
      </c>
      <c r="Y4" s="23" t="n">
        <f aca="false">Revenue!Y17</f>
        <v>53.8554557153363</v>
      </c>
      <c r="Z4" s="23" t="n">
        <f aca="false">Revenue!Z17</f>
        <v>57.0867830582565</v>
      </c>
      <c r="AA4" s="23" t="n">
        <f aca="false">Revenue!AA17</f>
        <v>60.5119900417518</v>
      </c>
      <c r="AB4" s="23" t="n">
        <f aca="false">Revenue!AB17</f>
        <v>64.142709444257</v>
      </c>
      <c r="AC4" s="23" t="n">
        <f aca="false">Revenue!AC17</f>
        <v>67.9912720109124</v>
      </c>
      <c r="AD4" s="23" t="n">
        <f aca="false">Revenue!AD17</f>
        <v>72.0707483315671</v>
      </c>
      <c r="AE4" s="23" t="n">
        <f aca="false">Revenue!AE17</f>
        <v>76.3949932314612</v>
      </c>
      <c r="AF4" s="23" t="n">
        <f aca="false">Revenue!AF17</f>
        <v>80.9786928253488</v>
      </c>
    </row>
    <row r="5" customFormat="false" ht="15" hidden="false" customHeight="false" outlineLevel="0" collapsed="false">
      <c r="A5" s="4" t="s">
        <v>223</v>
      </c>
      <c r="B5" s="8"/>
      <c r="C5" s="16" t="n">
        <f aca="false">Assumptions!$B$70*C4</f>
        <v>0</v>
      </c>
      <c r="D5" s="16" t="n">
        <f aca="false">Assumptions!$B$70*D4</f>
        <v>0</v>
      </c>
      <c r="E5" s="16" t="n">
        <f aca="false">Assumptions!$B$70*E4</f>
        <v>0</v>
      </c>
      <c r="F5" s="16" t="n">
        <f aca="false">Assumptions!$B$70*F4</f>
        <v>0</v>
      </c>
      <c r="G5" s="16" t="n">
        <f aca="false">Assumptions!$B$70*G4</f>
        <v>0</v>
      </c>
      <c r="H5" s="16" t="n">
        <f aca="false">Assumptions!$B$70*H4</f>
        <v>6</v>
      </c>
      <c r="I5" s="16" t="n">
        <f aca="false">Assumptions!$B$70*I4</f>
        <v>6.36</v>
      </c>
      <c r="J5" s="16" t="n">
        <f aca="false">Assumptions!$B$70*J4</f>
        <v>6.7416</v>
      </c>
      <c r="K5" s="16" t="n">
        <f aca="false">Assumptions!$B$70*K4</f>
        <v>7.146096</v>
      </c>
      <c r="L5" s="16" t="n">
        <f aca="false">Assumptions!$B$70*L4</f>
        <v>7.57486176</v>
      </c>
      <c r="M5" s="16" t="n">
        <f aca="false">Assumptions!$B$70*M4</f>
        <v>8.0293534656</v>
      </c>
      <c r="N5" s="16" t="n">
        <f aca="false">Assumptions!$B$70*N4</f>
        <v>8.511114673536</v>
      </c>
      <c r="O5" s="16" t="n">
        <f aca="false">Assumptions!$B$70*O4</f>
        <v>9.02178155394817</v>
      </c>
      <c r="P5" s="16" t="n">
        <f aca="false">Assumptions!$B$70*P4</f>
        <v>9.56308844718505</v>
      </c>
      <c r="Q5" s="16" t="n">
        <f aca="false">Assumptions!$B$70*Q4</f>
        <v>10.1368737540162</v>
      </c>
      <c r="R5" s="16" t="n">
        <f aca="false">Assumptions!$B$70*R4</f>
        <v>10.7450861792571</v>
      </c>
      <c r="S5" s="16" t="n">
        <f aca="false">Assumptions!$B$70*S4</f>
        <v>11.3897913500126</v>
      </c>
      <c r="T5" s="16" t="n">
        <f aca="false">Assumptions!$B$70*T4</f>
        <v>12.0731788310133</v>
      </c>
      <c r="U5" s="16" t="n">
        <f aca="false">Assumptions!$B$70*U4</f>
        <v>12.7975695608741</v>
      </c>
      <c r="V5" s="16" t="n">
        <f aca="false">Assumptions!$B$70*V4</f>
        <v>13.5654237345266</v>
      </c>
      <c r="W5" s="16" t="n">
        <f aca="false">Assumptions!$B$70*W4</f>
        <v>14.3793491585982</v>
      </c>
      <c r="X5" s="16" t="n">
        <f aca="false">Assumptions!$B$70*X4</f>
        <v>15.242110108114</v>
      </c>
      <c r="Y5" s="16" t="n">
        <f aca="false">Assumptions!$B$70*Y4</f>
        <v>16.1566367146009</v>
      </c>
      <c r="Z5" s="16" t="n">
        <f aca="false">Assumptions!$B$70*Z4</f>
        <v>17.1260349174769</v>
      </c>
      <c r="AA5" s="16" t="n">
        <f aca="false">Assumptions!$B$70*AA4</f>
        <v>18.1535970125256</v>
      </c>
      <c r="AB5" s="16" t="n">
        <f aca="false">Assumptions!$B$70*AB4</f>
        <v>19.2428128332771</v>
      </c>
      <c r="AC5" s="16" t="n">
        <f aca="false">Assumptions!$B$70*AC4</f>
        <v>20.3973816032737</v>
      </c>
      <c r="AD5" s="16" t="n">
        <f aca="false">Assumptions!$B$70*AD4</f>
        <v>21.6212244994701</v>
      </c>
      <c r="AE5" s="16" t="n">
        <f aca="false">Assumptions!$B$70*AE4</f>
        <v>22.9184979694383</v>
      </c>
      <c r="AF5" s="16" t="n">
        <f aca="false">Assumptions!$B$70*AF4</f>
        <v>24.2936078476047</v>
      </c>
    </row>
    <row r="6" customFormat="false" ht="15" hidden="false" customHeight="false" outlineLevel="0" collapsed="false">
      <c r="A6" s="4" t="s">
        <v>224</v>
      </c>
      <c r="B6" s="8"/>
      <c r="C6" s="16" t="n">
        <f aca="false">Assumptions!$B$71*C5</f>
        <v>0</v>
      </c>
      <c r="D6" s="16" t="n">
        <f aca="false">Assumptions!$B$71*D5</f>
        <v>0</v>
      </c>
      <c r="E6" s="16" t="n">
        <f aca="false">Assumptions!$B$71*E5</f>
        <v>0</v>
      </c>
      <c r="F6" s="16" t="n">
        <f aca="false">Assumptions!$B$71*F5</f>
        <v>0</v>
      </c>
      <c r="G6" s="16" t="n">
        <f aca="false">Assumptions!$B$71*G5</f>
        <v>0</v>
      </c>
      <c r="H6" s="16" t="n">
        <f aca="false">Assumptions!$B$71*H5</f>
        <v>3</v>
      </c>
      <c r="I6" s="16" t="n">
        <f aca="false">Assumptions!$B$71*I5</f>
        <v>3.18</v>
      </c>
      <c r="J6" s="16" t="n">
        <f aca="false">Assumptions!$B$71*J5</f>
        <v>3.3708</v>
      </c>
      <c r="K6" s="16" t="n">
        <f aca="false">Assumptions!$B$71*K5</f>
        <v>3.573048</v>
      </c>
      <c r="L6" s="16" t="n">
        <f aca="false">Assumptions!$B$71*L5</f>
        <v>3.78743088</v>
      </c>
      <c r="M6" s="16" t="n">
        <f aca="false">Assumptions!$B$71*M5</f>
        <v>4.0146767328</v>
      </c>
      <c r="N6" s="16" t="n">
        <f aca="false">Assumptions!$B$71*N5</f>
        <v>4.255557336768</v>
      </c>
      <c r="O6" s="16" t="n">
        <f aca="false">Assumptions!$B$71*O5</f>
        <v>4.51089077697408</v>
      </c>
      <c r="P6" s="16" t="n">
        <f aca="false">Assumptions!$B$71*P5</f>
        <v>4.78154422359253</v>
      </c>
      <c r="Q6" s="16" t="n">
        <f aca="false">Assumptions!$B$71*Q5</f>
        <v>5.06843687700808</v>
      </c>
      <c r="R6" s="16" t="n">
        <f aca="false">Assumptions!$B$71*R5</f>
        <v>5.37254308962856</v>
      </c>
      <c r="S6" s="16" t="n">
        <f aca="false">Assumptions!$B$71*S5</f>
        <v>5.69489567500628</v>
      </c>
      <c r="T6" s="16" t="n">
        <f aca="false">Assumptions!$B$71*T5</f>
        <v>6.03658941550665</v>
      </c>
      <c r="U6" s="16" t="n">
        <f aca="false">Assumptions!$B$71*U5</f>
        <v>6.39878478043705</v>
      </c>
      <c r="V6" s="16" t="n">
        <f aca="false">Assumptions!$B$71*V5</f>
        <v>6.78271186726328</v>
      </c>
      <c r="W6" s="16" t="n">
        <f aca="false">Assumptions!$B$71*W5</f>
        <v>7.18967457929908</v>
      </c>
      <c r="X6" s="16" t="n">
        <f aca="false">Assumptions!$B$71*X5</f>
        <v>7.62105505405702</v>
      </c>
      <c r="Y6" s="16" t="n">
        <f aca="false">Assumptions!$B$71*Y5</f>
        <v>8.07831835730044</v>
      </c>
      <c r="Z6" s="16" t="n">
        <f aca="false">Assumptions!$B$71*Z5</f>
        <v>8.56301745873847</v>
      </c>
      <c r="AA6" s="16" t="n">
        <f aca="false">Assumptions!$B$71*AA5</f>
        <v>9.07679850626278</v>
      </c>
      <c r="AB6" s="16" t="n">
        <f aca="false">Assumptions!$B$71*AB5</f>
        <v>9.62140641663854</v>
      </c>
      <c r="AC6" s="16" t="n">
        <f aca="false">Assumptions!$B$71*AC5</f>
        <v>10.1986908016369</v>
      </c>
      <c r="AD6" s="16" t="n">
        <f aca="false">Assumptions!$B$71*AD5</f>
        <v>10.8106122497351</v>
      </c>
      <c r="AE6" s="16" t="n">
        <f aca="false">Assumptions!$B$71*AE5</f>
        <v>11.4592489847192</v>
      </c>
      <c r="AF6" s="16" t="n">
        <f aca="false">Assumptions!$B$71*AF5</f>
        <v>12.1468039238023</v>
      </c>
    </row>
    <row r="7" customFormat="false" ht="15" hidden="false" customHeight="false" outlineLevel="0" collapsed="false">
      <c r="A7" s="4" t="s">
        <v>225</v>
      </c>
      <c r="B7" s="8"/>
      <c r="C7" s="23" t="n">
        <f aca="false">Assumptions!$B$20*Revenue!C12</f>
        <v>0</v>
      </c>
      <c r="D7" s="23" t="n">
        <f aca="false">Assumptions!$B$20*Revenue!D12</f>
        <v>0</v>
      </c>
      <c r="E7" s="23" t="n">
        <f aca="false">Assumptions!$B$20*Revenue!E12</f>
        <v>0</v>
      </c>
      <c r="F7" s="23" t="n">
        <f aca="false">Assumptions!$B$20*Revenue!F12</f>
        <v>0</v>
      </c>
      <c r="G7" s="23" t="n">
        <f aca="false">Assumptions!$B$20*Revenue!G12</f>
        <v>15.45</v>
      </c>
      <c r="H7" s="23" t="n">
        <f aca="false">Assumptions!$B$20*Revenue!H12</f>
        <v>18.67269375</v>
      </c>
      <c r="I7" s="23" t="n">
        <f aca="false">Assumptions!$B$20*Revenue!I12</f>
        <v>22.21051134375</v>
      </c>
      <c r="J7" s="23" t="n">
        <f aca="false">Assumptions!$B$20*Revenue!J12</f>
        <v>26.1021984567891</v>
      </c>
      <c r="K7" s="23" t="n">
        <f aca="false">Assumptions!$B$20*Revenue!K12</f>
        <v>30.3927527071378</v>
      </c>
      <c r="L7" s="23" t="n">
        <f aca="false">Assumptions!$B$20*Revenue!L12</f>
        <v>71.7115874001427</v>
      </c>
      <c r="M7" s="23" t="n">
        <f aca="false">Assumptions!$B$20*Revenue!M12</f>
        <v>80.0967693157259</v>
      </c>
      <c r="N7" s="23" t="n">
        <f aca="false">Assumptions!$B$20*Revenue!N12</f>
        <v>84.8865862325723</v>
      </c>
      <c r="O7" s="23" t="n">
        <f aca="false">Assumptions!$B$20*Revenue!O12</f>
        <v>90.2219650472572</v>
      </c>
      <c r="P7" s="23" t="n">
        <f aca="false">Assumptions!$B$20*Revenue!P12</f>
        <v>96.1938993838738</v>
      </c>
      <c r="Q7" s="23" t="n">
        <f aca="false">Assumptions!$B$20*Revenue!Q12</f>
        <v>102.910246420055</v>
      </c>
      <c r="R7" s="23" t="n">
        <f aca="false">Assumptions!$B$20*Revenue!R12</f>
        <v>108.402751505282</v>
      </c>
      <c r="S7" s="23" t="n">
        <f aca="false">Assumptions!$B$20*Revenue!S12</f>
        <v>112.196847807967</v>
      </c>
      <c r="T7" s="23" t="n">
        <f aca="false">Assumptions!$B$20*Revenue!T12</f>
        <v>116.123737481246</v>
      </c>
      <c r="U7" s="23" t="n">
        <f aca="false">Assumptions!$B$20*Revenue!U12</f>
        <v>120.18806829309</v>
      </c>
      <c r="V7" s="23" t="n">
        <f aca="false">Assumptions!$B$20*Revenue!V12</f>
        <v>124.394650683348</v>
      </c>
      <c r="W7" s="23" t="n">
        <f aca="false">Assumptions!$B$20*Revenue!W12</f>
        <v>128.748463457265</v>
      </c>
      <c r="X7" s="23" t="n">
        <f aca="false">Assumptions!$B$20*Revenue!X12</f>
        <v>133.254659678269</v>
      </c>
      <c r="Y7" s="23" t="n">
        <f aca="false">Assumptions!$B$20*Revenue!Y12</f>
        <v>137.918572767009</v>
      </c>
      <c r="Z7" s="23" t="n">
        <f aca="false">Assumptions!$B$20*Revenue!Z12</f>
        <v>142.745722813854</v>
      </c>
      <c r="AA7" s="23" t="n">
        <f aca="false">Assumptions!$B$20*Revenue!AA12</f>
        <v>147.741823112339</v>
      </c>
      <c r="AB7" s="23" t="n">
        <f aca="false">Assumptions!$B$20*Revenue!AB12</f>
        <v>152.912786921271</v>
      </c>
      <c r="AC7" s="23" t="n">
        <f aca="false">Assumptions!$B$20*Revenue!AC12</f>
        <v>158.264734463515</v>
      </c>
      <c r="AD7" s="23" t="n">
        <f aca="false">Assumptions!$B$20*Revenue!AD12</f>
        <v>163.804000169738</v>
      </c>
      <c r="AE7" s="23" t="n">
        <f aca="false">Assumptions!$B$20*Revenue!AE12</f>
        <v>169.537140175679</v>
      </c>
      <c r="AF7" s="23" t="n">
        <f aca="false">Assumptions!$B$20*Revenue!AF12</f>
        <v>175.470940081828</v>
      </c>
    </row>
    <row r="8" customFormat="false" ht="15" hidden="false" customHeight="false" outlineLevel="0" collapsed="false">
      <c r="A8" s="4" t="s">
        <v>226</v>
      </c>
      <c r="B8" s="8"/>
      <c r="C8" s="16" t="n">
        <f aca="false">Assumptions!$B$72*C7</f>
        <v>0</v>
      </c>
      <c r="D8" s="16" t="n">
        <f aca="false">Assumptions!$B$72*D7</f>
        <v>0</v>
      </c>
      <c r="E8" s="16" t="n">
        <f aca="false">Assumptions!$B$72*E7</f>
        <v>0</v>
      </c>
      <c r="F8" s="16" t="n">
        <f aca="false">Assumptions!$B$72*F7</f>
        <v>0</v>
      </c>
      <c r="G8" s="16" t="n">
        <f aca="false">Assumptions!$B$72*G7</f>
        <v>0.1545</v>
      </c>
      <c r="H8" s="16" t="n">
        <f aca="false">Assumptions!$B$72*H7</f>
        <v>0.1867269375</v>
      </c>
      <c r="I8" s="16" t="n">
        <f aca="false">Assumptions!$B$72*I7</f>
        <v>0.2221051134375</v>
      </c>
      <c r="J8" s="16" t="n">
        <f aca="false">Assumptions!$B$72*J7</f>
        <v>0.261021984567891</v>
      </c>
      <c r="K8" s="16" t="n">
        <f aca="false">Assumptions!$B$72*K7</f>
        <v>0.303927527071378</v>
      </c>
      <c r="L8" s="16" t="n">
        <f aca="false">Assumptions!$B$72*L7</f>
        <v>0.717115874001427</v>
      </c>
      <c r="M8" s="16" t="n">
        <f aca="false">Assumptions!$B$72*M7</f>
        <v>0.800967693157259</v>
      </c>
      <c r="N8" s="16" t="n">
        <f aca="false">Assumptions!$B$72*N7</f>
        <v>0.848865862325723</v>
      </c>
      <c r="O8" s="16" t="n">
        <f aca="false">Assumptions!$B$72*O7</f>
        <v>0.902219650472573</v>
      </c>
      <c r="P8" s="16" t="n">
        <f aca="false">Assumptions!$B$72*P7</f>
        <v>0.961938993838738</v>
      </c>
      <c r="Q8" s="16" t="n">
        <f aca="false">Assumptions!$B$72*Q7</f>
        <v>1.02910246420055</v>
      </c>
      <c r="R8" s="16" t="n">
        <f aca="false">Assumptions!$B$72*R7</f>
        <v>1.08402751505282</v>
      </c>
      <c r="S8" s="16" t="n">
        <f aca="false">Assumptions!$B$72*S7</f>
        <v>1.12196847807967</v>
      </c>
      <c r="T8" s="16" t="n">
        <f aca="false">Assumptions!$B$72*T7</f>
        <v>1.16123737481246</v>
      </c>
      <c r="U8" s="16" t="n">
        <f aca="false">Assumptions!$B$72*U7</f>
        <v>1.2018806829309</v>
      </c>
      <c r="V8" s="16" t="n">
        <f aca="false">Assumptions!$B$72*V7</f>
        <v>1.24394650683348</v>
      </c>
      <c r="W8" s="16" t="n">
        <f aca="false">Assumptions!$B$72*W7</f>
        <v>1.28748463457265</v>
      </c>
      <c r="X8" s="16" t="n">
        <f aca="false">Assumptions!$B$72*X7</f>
        <v>1.33254659678269</v>
      </c>
      <c r="Y8" s="16" t="n">
        <f aca="false">Assumptions!$B$72*Y7</f>
        <v>1.37918572767009</v>
      </c>
      <c r="Z8" s="16" t="n">
        <f aca="false">Assumptions!$B$72*Z7</f>
        <v>1.42745722813854</v>
      </c>
      <c r="AA8" s="16" t="n">
        <f aca="false">Assumptions!$B$72*AA7</f>
        <v>1.47741823112339</v>
      </c>
      <c r="AB8" s="16" t="n">
        <f aca="false">Assumptions!$B$72*AB7</f>
        <v>1.52912786921271</v>
      </c>
      <c r="AC8" s="16" t="n">
        <f aca="false">Assumptions!$B$72*AC7</f>
        <v>1.58264734463515</v>
      </c>
      <c r="AD8" s="16" t="n">
        <f aca="false">Assumptions!$B$72*AD7</f>
        <v>1.63804000169738</v>
      </c>
      <c r="AE8" s="16" t="n">
        <f aca="false">Assumptions!$B$72*AE7</f>
        <v>1.69537140175679</v>
      </c>
      <c r="AF8" s="16" t="n">
        <f aca="false">Assumptions!$B$72*AF7</f>
        <v>1.75470940081828</v>
      </c>
    </row>
    <row r="9" customFormat="false" ht="15" hidden="false" customHeight="false" outlineLevel="0" collapsed="false">
      <c r="A9" s="17" t="s">
        <v>227</v>
      </c>
      <c r="B9" s="18"/>
      <c r="C9" s="19" t="n">
        <f aca="false">C6+C8</f>
        <v>0</v>
      </c>
      <c r="D9" s="19" t="n">
        <f aca="false">D6+D8</f>
        <v>0</v>
      </c>
      <c r="E9" s="19" t="n">
        <f aca="false">E6+E8</f>
        <v>0</v>
      </c>
      <c r="F9" s="19" t="n">
        <f aca="false">F6+F8</f>
        <v>0</v>
      </c>
      <c r="G9" s="19" t="n">
        <f aca="false">G6+G8</f>
        <v>0.1545</v>
      </c>
      <c r="H9" s="19" t="n">
        <f aca="false">H6+H8</f>
        <v>3.1867269375</v>
      </c>
      <c r="I9" s="19" t="n">
        <f aca="false">I6+I8</f>
        <v>3.4021051134375</v>
      </c>
      <c r="J9" s="19" t="n">
        <f aca="false">J6+J8</f>
        <v>3.63182198456789</v>
      </c>
      <c r="K9" s="19" t="n">
        <f aca="false">K6+K8</f>
        <v>3.87697552707138</v>
      </c>
      <c r="L9" s="19" t="n">
        <f aca="false">L6+L8</f>
        <v>4.50454675400143</v>
      </c>
      <c r="M9" s="19" t="n">
        <f aca="false">M6+M8</f>
        <v>4.81564442595726</v>
      </c>
      <c r="N9" s="19" t="n">
        <f aca="false">N6+N8</f>
        <v>5.10442319909372</v>
      </c>
      <c r="O9" s="19" t="n">
        <f aca="false">O6+O8</f>
        <v>5.41311042744666</v>
      </c>
      <c r="P9" s="19" t="n">
        <f aca="false">P6+P8</f>
        <v>5.74348321743127</v>
      </c>
      <c r="Q9" s="19" t="n">
        <f aca="false">Q6+Q8</f>
        <v>6.09753934120863</v>
      </c>
      <c r="R9" s="19" t="n">
        <f aca="false">R6+R8</f>
        <v>6.45657060468139</v>
      </c>
      <c r="S9" s="19" t="n">
        <f aca="false">S6+S8</f>
        <v>6.81686415308595</v>
      </c>
      <c r="T9" s="19" t="n">
        <f aca="false">T6+T8</f>
        <v>7.19782679031912</v>
      </c>
      <c r="U9" s="19" t="n">
        <f aca="false">U6+U8</f>
        <v>7.60066546336795</v>
      </c>
      <c r="V9" s="19" t="n">
        <f aca="false">V6+V8</f>
        <v>8.02665837409676</v>
      </c>
      <c r="W9" s="19" t="n">
        <f aca="false">W6+W8</f>
        <v>8.47715921387172</v>
      </c>
      <c r="X9" s="19" t="n">
        <f aca="false">X6+X8</f>
        <v>8.95360165083971</v>
      </c>
      <c r="Y9" s="19" t="n">
        <f aca="false">Y6+Y8</f>
        <v>9.45750408497053</v>
      </c>
      <c r="Z9" s="19" t="n">
        <f aca="false">Z6+Z8</f>
        <v>9.99047468687701</v>
      </c>
      <c r="AA9" s="19" t="n">
        <f aca="false">AA6+AA8</f>
        <v>10.5542167373862</v>
      </c>
      <c r="AB9" s="19" t="n">
        <f aca="false">AB6+AB8</f>
        <v>11.1505342858513</v>
      </c>
      <c r="AC9" s="19" t="n">
        <f aca="false">AC6+AC8</f>
        <v>11.781338146272</v>
      </c>
      <c r="AD9" s="19" t="n">
        <f aca="false">AD6+AD8</f>
        <v>12.4486522514325</v>
      </c>
      <c r="AE9" s="19" t="n">
        <f aca="false">AE6+AE8</f>
        <v>13.154620386476</v>
      </c>
      <c r="AF9" s="19" t="n">
        <f aca="false">AF6+AF8</f>
        <v>13.9015133246206</v>
      </c>
    </row>
    <row r="10" customFormat="false" ht="15" hidden="false" customHeight="false" outlineLevel="0" collapsed="false">
      <c r="A10" s="5" t="s">
        <v>228</v>
      </c>
      <c r="B10" s="8"/>
      <c r="C10" s="20" t="n">
        <f aca="false">SUM($C$9:C9)</f>
        <v>0</v>
      </c>
      <c r="D10" s="20" t="n">
        <f aca="false">SUM($C$9:D9)</f>
        <v>0</v>
      </c>
      <c r="E10" s="20" t="n">
        <f aca="false">SUM($C$9:E9)</f>
        <v>0</v>
      </c>
      <c r="F10" s="20" t="n">
        <f aca="false">SUM($C$9:F9)</f>
        <v>0</v>
      </c>
      <c r="G10" s="20" t="n">
        <f aca="false">SUM($C$9:G9)</f>
        <v>0.1545</v>
      </c>
      <c r="H10" s="20" t="n">
        <f aca="false">SUM($C$9:H9)</f>
        <v>3.3412269375</v>
      </c>
      <c r="I10" s="20" t="n">
        <f aca="false">SUM($C$9:I9)</f>
        <v>6.7433320509375</v>
      </c>
      <c r="J10" s="20" t="n">
        <f aca="false">SUM($C$9:J9)</f>
        <v>10.3751540355054</v>
      </c>
      <c r="K10" s="20" t="n">
        <f aca="false">SUM($C$9:K9)</f>
        <v>14.2521295625768</v>
      </c>
      <c r="L10" s="20" t="n">
        <f aca="false">SUM($C$9:L9)</f>
        <v>18.7566763165782</v>
      </c>
      <c r="M10" s="20" t="n">
        <f aca="false">SUM($C$9:M9)</f>
        <v>23.5723207425355</v>
      </c>
      <c r="N10" s="20" t="n">
        <f aca="false">SUM($C$9:N9)</f>
        <v>28.6767439416292</v>
      </c>
      <c r="O10" s="20" t="n">
        <f aca="false">SUM($C$9:O9)</f>
        <v>34.0898543690758</v>
      </c>
      <c r="P10" s="20" t="n">
        <f aca="false">SUM($C$9:P9)</f>
        <v>39.8333375865071</v>
      </c>
      <c r="Q10" s="20" t="n">
        <f aca="false">SUM($C$9:Q9)</f>
        <v>45.9308769277157</v>
      </c>
      <c r="R10" s="20" t="n">
        <f aca="false">SUM($C$9:R9)</f>
        <v>52.3874475323971</v>
      </c>
      <c r="S10" s="20" t="n">
        <f aca="false">SUM($C$9:S9)</f>
        <v>59.2043116854831</v>
      </c>
      <c r="T10" s="20" t="n">
        <f aca="false">SUM($C$9:T9)</f>
        <v>66.4021384758022</v>
      </c>
      <c r="U10" s="20" t="n">
        <f aca="false">SUM($C$9:U9)</f>
        <v>74.0028039391701</v>
      </c>
      <c r="V10" s="20" t="n">
        <f aca="false">SUM($C$9:V9)</f>
        <v>82.0294623132669</v>
      </c>
      <c r="W10" s="20" t="n">
        <f aca="false">SUM($C$9:W9)</f>
        <v>90.5066215271386</v>
      </c>
      <c r="X10" s="20" t="n">
        <f aca="false">SUM($C$9:X9)</f>
        <v>99.4602231779783</v>
      </c>
      <c r="Y10" s="20" t="n">
        <f aca="false">SUM($C$9:Y9)</f>
        <v>108.917727262949</v>
      </c>
      <c r="Z10" s="20" t="n">
        <f aca="false">SUM($C$9:Z9)</f>
        <v>118.908201949826</v>
      </c>
      <c r="AA10" s="20" t="n">
        <f aca="false">SUM($C$9:AA9)</f>
        <v>129.462418687212</v>
      </c>
      <c r="AB10" s="20" t="n">
        <f aca="false">SUM($C$9:AB9)</f>
        <v>140.612952973063</v>
      </c>
      <c r="AC10" s="20" t="n">
        <f aca="false">SUM($C$9:AC9)</f>
        <v>152.394291119335</v>
      </c>
      <c r="AD10" s="20" t="n">
        <f aca="false">SUM($C$9:AD9)</f>
        <v>164.842943370768</v>
      </c>
      <c r="AE10" s="20" t="n">
        <f aca="false">SUM($C$9:AE9)</f>
        <v>177.997563757244</v>
      </c>
      <c r="AF10" s="20" t="n">
        <f aca="false">SUM($C$9:AF9)</f>
        <v>191.899077081864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4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6" t="s">
        <v>14</v>
      </c>
    </row>
    <row r="3" customFormat="false" ht="15" hidden="false" customHeight="false" outlineLevel="0" collapsed="false">
      <c r="A3" s="5" t="s">
        <v>15</v>
      </c>
    </row>
    <row r="4" customFormat="false" ht="15" hidden="false" customHeight="false" outlineLevel="0" collapsed="false">
      <c r="A4" s="4" t="s">
        <v>16</v>
      </c>
      <c r="B4" s="7" t="n">
        <v>2031</v>
      </c>
      <c r="C4" s="8" t="s">
        <v>17</v>
      </c>
    </row>
    <row r="5" customFormat="false" ht="15" hidden="false" customHeight="false" outlineLevel="0" collapsed="false">
      <c r="A5" s="4" t="s">
        <v>18</v>
      </c>
      <c r="B5" s="7" t="n">
        <v>2036</v>
      </c>
      <c r="C5" s="8"/>
    </row>
    <row r="6" customFormat="false" ht="15" hidden="false" customHeight="false" outlineLevel="0" collapsed="false">
      <c r="A6" s="4" t="s">
        <v>19</v>
      </c>
      <c r="B6" s="7" t="n">
        <v>2035</v>
      </c>
      <c r="C6" s="8" t="s">
        <v>20</v>
      </c>
    </row>
    <row r="8" customFormat="false" ht="15" hidden="false" customHeight="false" outlineLevel="0" collapsed="false">
      <c r="A8" s="5" t="s">
        <v>21</v>
      </c>
    </row>
    <row r="9" customFormat="false" ht="15" hidden="false" customHeight="false" outlineLevel="0" collapsed="false">
      <c r="A9" s="4" t="s">
        <v>22</v>
      </c>
      <c r="B9" s="9" t="n">
        <v>400</v>
      </c>
      <c r="C9" s="8"/>
    </row>
    <row r="10" customFormat="false" ht="15" hidden="false" customHeight="false" outlineLevel="0" collapsed="false">
      <c r="A10" s="4" t="s">
        <v>23</v>
      </c>
      <c r="B10" s="9" t="n">
        <v>1000</v>
      </c>
      <c r="C10" s="8"/>
    </row>
    <row r="11" customFormat="false" ht="15" hidden="false" customHeight="false" outlineLevel="0" collapsed="false">
      <c r="A11" s="4" t="s">
        <v>24</v>
      </c>
      <c r="B11" s="10" t="n">
        <v>0.4</v>
      </c>
      <c r="C11" s="8"/>
    </row>
    <row r="12" customFormat="false" ht="15" hidden="false" customHeight="false" outlineLevel="0" collapsed="false">
      <c r="A12" s="4" t="s">
        <v>25</v>
      </c>
      <c r="B12" s="10" t="n">
        <v>0.07</v>
      </c>
      <c r="C12" s="8"/>
    </row>
    <row r="13" customFormat="false" ht="15" hidden="false" customHeight="false" outlineLevel="0" collapsed="false">
      <c r="A13" s="4" t="s">
        <v>26</v>
      </c>
      <c r="B13" s="11" t="n">
        <v>0.8</v>
      </c>
      <c r="C13" s="8"/>
    </row>
    <row r="14" customFormat="false" ht="15" hidden="false" customHeight="false" outlineLevel="0" collapsed="false">
      <c r="A14" s="4" t="s">
        <v>27</v>
      </c>
      <c r="B14" s="9" t="n">
        <v>750</v>
      </c>
      <c r="C14" s="8" t="s">
        <v>28</v>
      </c>
    </row>
    <row r="15" customFormat="false" ht="15" hidden="false" customHeight="false" outlineLevel="0" collapsed="false">
      <c r="A15" s="4" t="s">
        <v>29</v>
      </c>
      <c r="B15" s="7" t="n">
        <v>150000</v>
      </c>
      <c r="C15" s="8"/>
    </row>
    <row r="16" customFormat="false" ht="15" hidden="false" customHeight="false" outlineLevel="0" collapsed="false">
      <c r="A16" s="4" t="s">
        <v>30</v>
      </c>
      <c r="B16" s="10" t="n">
        <v>0.15</v>
      </c>
      <c r="C16" s="8"/>
    </row>
    <row r="17" customFormat="false" ht="15" hidden="false" customHeight="false" outlineLevel="0" collapsed="false">
      <c r="A17" s="4" t="s">
        <v>31</v>
      </c>
      <c r="B17" s="7" t="n">
        <v>650000</v>
      </c>
      <c r="C17" s="8"/>
    </row>
    <row r="18" customFormat="false" ht="15" hidden="false" customHeight="false" outlineLevel="0" collapsed="false">
      <c r="A18" s="4" t="s">
        <v>32</v>
      </c>
      <c r="B18" s="7" t="n">
        <v>120</v>
      </c>
      <c r="C18" s="8"/>
    </row>
    <row r="19" customFormat="false" ht="15" hidden="false" customHeight="false" outlineLevel="0" collapsed="false">
      <c r="A19" s="4" t="s">
        <v>33</v>
      </c>
      <c r="B19" s="11" t="n">
        <v>0.035</v>
      </c>
      <c r="C19" s="8"/>
    </row>
    <row r="20" customFormat="false" ht="15" hidden="false" customHeight="false" outlineLevel="0" collapsed="false">
      <c r="A20" s="4" t="s">
        <v>34</v>
      </c>
      <c r="B20" s="10" t="n">
        <v>0.25</v>
      </c>
      <c r="C20" s="8"/>
    </row>
    <row r="22" customFormat="false" ht="15" hidden="false" customHeight="false" outlineLevel="0" collapsed="false">
      <c r="A22" s="5" t="s">
        <v>35</v>
      </c>
    </row>
    <row r="23" customFormat="false" ht="15" hidden="false" customHeight="false" outlineLevel="0" collapsed="false">
      <c r="A23" s="4" t="s">
        <v>36</v>
      </c>
      <c r="B23" s="12" t="n">
        <v>25</v>
      </c>
      <c r="C23" s="8"/>
    </row>
    <row r="24" customFormat="false" ht="15" hidden="false" customHeight="false" outlineLevel="0" collapsed="false">
      <c r="A24" s="4" t="s">
        <v>37</v>
      </c>
      <c r="B24" s="10" t="n">
        <v>0.06</v>
      </c>
      <c r="C24" s="8"/>
    </row>
    <row r="25" customFormat="false" ht="15" hidden="false" customHeight="false" outlineLevel="0" collapsed="false">
      <c r="A25" s="4" t="s">
        <v>38</v>
      </c>
      <c r="B25" s="12" t="n">
        <v>20</v>
      </c>
      <c r="C25" s="8"/>
    </row>
    <row r="26" customFormat="false" ht="15" hidden="false" customHeight="false" outlineLevel="0" collapsed="false">
      <c r="A26" s="4" t="s">
        <v>37</v>
      </c>
      <c r="B26" s="10" t="n">
        <v>0.08</v>
      </c>
      <c r="C26" s="8"/>
    </row>
    <row r="27" customFormat="false" ht="15" hidden="false" customHeight="false" outlineLevel="0" collapsed="false">
      <c r="A27" s="4" t="s">
        <v>39</v>
      </c>
      <c r="B27" s="12" t="n">
        <v>35</v>
      </c>
      <c r="C27" s="8"/>
    </row>
    <row r="28" customFormat="false" ht="15" hidden="false" customHeight="false" outlineLevel="0" collapsed="false">
      <c r="A28" s="4" t="s">
        <v>37</v>
      </c>
      <c r="B28" s="10" t="n">
        <v>0.05</v>
      </c>
      <c r="C28" s="8"/>
    </row>
    <row r="29" customFormat="false" ht="15" hidden="false" customHeight="false" outlineLevel="0" collapsed="false">
      <c r="A29" s="4" t="s">
        <v>40</v>
      </c>
      <c r="B29" s="12" t="n">
        <v>8</v>
      </c>
      <c r="C29" s="8"/>
    </row>
    <row r="30" customFormat="false" ht="15" hidden="false" customHeight="false" outlineLevel="0" collapsed="false">
      <c r="A30" s="4" t="s">
        <v>37</v>
      </c>
      <c r="B30" s="10" t="n">
        <v>0.04</v>
      </c>
      <c r="C30" s="8"/>
    </row>
    <row r="31" customFormat="false" ht="15" hidden="false" customHeight="false" outlineLevel="0" collapsed="false">
      <c r="A31" s="4" t="s">
        <v>41</v>
      </c>
      <c r="B31" s="12" t="n">
        <v>20</v>
      </c>
      <c r="C31" s="8"/>
    </row>
    <row r="32" customFormat="false" ht="15" hidden="false" customHeight="false" outlineLevel="0" collapsed="false">
      <c r="A32" s="4" t="s">
        <v>37</v>
      </c>
      <c r="B32" s="10" t="n">
        <v>0.06</v>
      </c>
      <c r="C32" s="8"/>
    </row>
    <row r="33" customFormat="false" ht="15" hidden="false" customHeight="false" outlineLevel="0" collapsed="false">
      <c r="A33" s="4" t="s">
        <v>42</v>
      </c>
      <c r="B33" s="12" t="n">
        <v>25</v>
      </c>
      <c r="C33" s="8"/>
    </row>
    <row r="34" customFormat="false" ht="15" hidden="false" customHeight="false" outlineLevel="0" collapsed="false">
      <c r="A34" s="4" t="s">
        <v>37</v>
      </c>
      <c r="B34" s="10" t="n">
        <v>0.07</v>
      </c>
      <c r="C34" s="8"/>
    </row>
    <row r="35" customFormat="false" ht="15" hidden="false" customHeight="false" outlineLevel="0" collapsed="false">
      <c r="A35" s="4" t="s">
        <v>43</v>
      </c>
      <c r="B35" s="12" t="n">
        <v>6</v>
      </c>
      <c r="C35" s="8"/>
    </row>
    <row r="36" customFormat="false" ht="15" hidden="false" customHeight="false" outlineLevel="0" collapsed="false">
      <c r="A36" s="4" t="s">
        <v>37</v>
      </c>
      <c r="B36" s="10" t="n">
        <v>0.04</v>
      </c>
      <c r="C36" s="8"/>
    </row>
    <row r="38" customFormat="false" ht="15" hidden="false" customHeight="false" outlineLevel="0" collapsed="false">
      <c r="A38" s="5" t="s">
        <v>44</v>
      </c>
    </row>
    <row r="39" customFormat="false" ht="15" hidden="false" customHeight="false" outlineLevel="0" collapsed="false">
      <c r="A39" s="4" t="s">
        <v>45</v>
      </c>
      <c r="B39" s="11" t="n">
        <v>0.34</v>
      </c>
      <c r="C39" s="8"/>
    </row>
    <row r="40" customFormat="false" ht="15" hidden="false" customHeight="false" outlineLevel="0" collapsed="false">
      <c r="A40" s="4" t="s">
        <v>46</v>
      </c>
      <c r="B40" s="10" t="n">
        <v>0.19</v>
      </c>
      <c r="C40" s="8"/>
    </row>
    <row r="41" customFormat="false" ht="15" hidden="false" customHeight="false" outlineLevel="0" collapsed="false">
      <c r="A41" s="4" t="s">
        <v>47</v>
      </c>
      <c r="B41" s="10" t="n">
        <v>0.11</v>
      </c>
      <c r="C41" s="8"/>
    </row>
    <row r="42" customFormat="false" ht="15" hidden="false" customHeight="false" outlineLevel="0" collapsed="false">
      <c r="A42" s="4" t="s">
        <v>48</v>
      </c>
      <c r="B42" s="10" t="n">
        <v>0.015</v>
      </c>
      <c r="C42" s="8"/>
    </row>
    <row r="44" customFormat="false" ht="15" hidden="false" customHeight="false" outlineLevel="0" collapsed="false">
      <c r="A44" s="5" t="s">
        <v>49</v>
      </c>
    </row>
    <row r="45" customFormat="false" ht="15" hidden="false" customHeight="false" outlineLevel="0" collapsed="false">
      <c r="A45" s="4" t="s">
        <v>50</v>
      </c>
      <c r="B45" s="12" t="n">
        <v>60</v>
      </c>
      <c r="C45" s="8"/>
    </row>
    <row r="46" customFormat="false" ht="15" hidden="false" customHeight="false" outlineLevel="0" collapsed="false">
      <c r="A46" s="4" t="s">
        <v>51</v>
      </c>
      <c r="B46" s="13" t="n">
        <v>740</v>
      </c>
      <c r="C46" s="8"/>
    </row>
    <row r="47" customFormat="false" ht="15" hidden="false" customHeight="false" outlineLevel="0" collapsed="false">
      <c r="A47" s="4" t="s">
        <v>52</v>
      </c>
      <c r="B47" s="12" t="n">
        <v>575</v>
      </c>
      <c r="C47" s="8"/>
    </row>
    <row r="48" customFormat="false" ht="15" hidden="false" customHeight="false" outlineLevel="0" collapsed="false">
      <c r="A48" s="4" t="s">
        <v>53</v>
      </c>
      <c r="B48" s="12" t="n">
        <v>425</v>
      </c>
      <c r="C48" s="8"/>
    </row>
    <row r="49" customFormat="false" ht="15" hidden="false" customHeight="false" outlineLevel="0" collapsed="false">
      <c r="A49" s="4" t="s">
        <v>54</v>
      </c>
      <c r="B49" s="10" t="n">
        <v>0.01</v>
      </c>
      <c r="C49" s="8"/>
    </row>
    <row r="50" customFormat="false" ht="15" hidden="false" customHeight="false" outlineLevel="0" collapsed="false">
      <c r="A50" s="4" t="s">
        <v>55</v>
      </c>
      <c r="B50" s="10" t="n">
        <v>0.04</v>
      </c>
      <c r="C50" s="8"/>
    </row>
    <row r="52" customFormat="false" ht="15" hidden="false" customHeight="false" outlineLevel="0" collapsed="false">
      <c r="A52" s="5" t="s">
        <v>56</v>
      </c>
    </row>
    <row r="53" customFormat="false" ht="15" hidden="false" customHeight="false" outlineLevel="0" collapsed="false">
      <c r="A53" s="4" t="s">
        <v>57</v>
      </c>
      <c r="B53" s="11" t="n">
        <v>0.125</v>
      </c>
      <c r="C53" s="8"/>
    </row>
    <row r="54" customFormat="false" ht="15" hidden="false" customHeight="false" outlineLevel="0" collapsed="false">
      <c r="A54" s="4" t="s">
        <v>58</v>
      </c>
      <c r="B54" s="11" t="n">
        <v>0.175</v>
      </c>
      <c r="C54" s="8"/>
    </row>
    <row r="55" customFormat="false" ht="15" hidden="false" customHeight="false" outlineLevel="0" collapsed="false">
      <c r="A55" s="4" t="s">
        <v>59</v>
      </c>
      <c r="B55" s="10" t="n">
        <v>0.125</v>
      </c>
      <c r="C55" s="8"/>
    </row>
    <row r="56" customFormat="false" ht="15" hidden="false" customHeight="false" outlineLevel="0" collapsed="false">
      <c r="A56" s="4" t="s">
        <v>60</v>
      </c>
      <c r="B56" s="10" t="n">
        <v>0.225</v>
      </c>
      <c r="C56" s="8"/>
    </row>
    <row r="57" customFormat="false" ht="15" hidden="false" customHeight="false" outlineLevel="0" collapsed="false">
      <c r="A57" s="4" t="s">
        <v>61</v>
      </c>
      <c r="B57" s="10" t="n">
        <v>0.225</v>
      </c>
      <c r="C57" s="8"/>
    </row>
    <row r="58" customFormat="false" ht="15" hidden="false" customHeight="false" outlineLevel="0" collapsed="false">
      <c r="A58" s="4" t="s">
        <v>62</v>
      </c>
      <c r="B58" s="10" t="n">
        <v>0.125</v>
      </c>
      <c r="C58" s="8" t="s">
        <v>63</v>
      </c>
    </row>
    <row r="60" customFormat="false" ht="15" hidden="false" customHeight="false" outlineLevel="0" collapsed="false">
      <c r="A60" s="5" t="s">
        <v>64</v>
      </c>
    </row>
    <row r="61" customFormat="false" ht="15" hidden="false" customHeight="false" outlineLevel="0" collapsed="false">
      <c r="A61" s="4" t="s">
        <v>65</v>
      </c>
      <c r="B61" s="11" t="n">
        <v>0.08</v>
      </c>
      <c r="C61" s="8"/>
    </row>
    <row r="62" customFormat="false" ht="15" hidden="false" customHeight="false" outlineLevel="0" collapsed="false">
      <c r="A62" s="4" t="s">
        <v>66</v>
      </c>
      <c r="B62" s="7" t="n">
        <v>2034</v>
      </c>
      <c r="C62" s="8"/>
    </row>
    <row r="63" customFormat="false" ht="15" hidden="false" customHeight="false" outlineLevel="0" collapsed="false">
      <c r="A63" s="4" t="s">
        <v>67</v>
      </c>
      <c r="B63" s="7" t="n">
        <v>12</v>
      </c>
      <c r="C63" s="8"/>
    </row>
    <row r="64" customFormat="false" ht="15" hidden="false" customHeight="false" outlineLevel="0" collapsed="false">
      <c r="A64" s="4" t="s">
        <v>68</v>
      </c>
      <c r="B64" s="11" t="n">
        <v>0.07</v>
      </c>
      <c r="C64" s="8"/>
    </row>
    <row r="65" customFormat="false" ht="15" hidden="false" customHeight="false" outlineLevel="0" collapsed="false">
      <c r="A65" s="4" t="s">
        <v>69</v>
      </c>
      <c r="B65" s="7" t="n">
        <v>2042</v>
      </c>
      <c r="C65" s="8"/>
    </row>
    <row r="66" customFormat="false" ht="15" hidden="false" customHeight="false" outlineLevel="0" collapsed="false">
      <c r="A66" s="4" t="s">
        <v>70</v>
      </c>
      <c r="B66" s="10" t="n">
        <v>0.3</v>
      </c>
      <c r="C66" s="8"/>
    </row>
    <row r="67" customFormat="false" ht="15" hidden="false" customHeight="false" outlineLevel="0" collapsed="false">
      <c r="A67" s="4" t="s">
        <v>71</v>
      </c>
      <c r="B67" s="11" t="n">
        <v>0.1</v>
      </c>
      <c r="C67" s="8"/>
    </row>
    <row r="69" customFormat="false" ht="15" hidden="false" customHeight="false" outlineLevel="0" collapsed="false">
      <c r="A69" s="5" t="s">
        <v>72</v>
      </c>
    </row>
    <row r="70" customFormat="false" ht="15" hidden="false" customHeight="false" outlineLevel="0" collapsed="false">
      <c r="A70" s="4" t="s">
        <v>73</v>
      </c>
      <c r="B70" s="10" t="n">
        <v>0.3</v>
      </c>
      <c r="C70" s="8"/>
    </row>
    <row r="71" customFormat="false" ht="15" hidden="false" customHeight="false" outlineLevel="0" collapsed="false">
      <c r="A71" s="4" t="s">
        <v>74</v>
      </c>
      <c r="B71" s="10" t="n">
        <v>0.5</v>
      </c>
      <c r="C71" s="8"/>
    </row>
    <row r="72" customFormat="false" ht="15" hidden="false" customHeight="false" outlineLevel="0" collapsed="false">
      <c r="A72" s="4" t="s">
        <v>75</v>
      </c>
      <c r="B72" s="10" t="n">
        <v>0.01</v>
      </c>
      <c r="C72" s="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76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109</v>
      </c>
      <c r="B4" s="8" t="s">
        <v>110</v>
      </c>
      <c r="C4" s="16" t="n">
        <f aca="false">IF(AND(2027&gt;=2027,2027&lt;=2028),Assumptions!$B$45/2,0)</f>
        <v>30</v>
      </c>
      <c r="D4" s="16" t="n">
        <f aca="false">IF(AND(2028&gt;=2027,2028&lt;=2028),Assumptions!$B$45/2,0)</f>
        <v>30</v>
      </c>
      <c r="E4" s="16" t="n">
        <f aca="false">IF(AND(2029&gt;=2027,2029&lt;=2028),Assumptions!$B$45/2,0)</f>
        <v>0</v>
      </c>
      <c r="F4" s="16" t="n">
        <f aca="false">IF(AND(2030&gt;=2027,2030&lt;=2028),Assumptions!$B$45/2,0)</f>
        <v>0</v>
      </c>
      <c r="G4" s="16" t="n">
        <f aca="false">IF(AND(2031&gt;=2027,2031&lt;=2028),Assumptions!$B$45/2,0)</f>
        <v>0</v>
      </c>
      <c r="H4" s="16" t="n">
        <f aca="false">IF(AND(2032&gt;=2027,2032&lt;=2028),Assumptions!$B$45/2,0)</f>
        <v>0</v>
      </c>
      <c r="I4" s="16" t="n">
        <f aca="false">IF(AND(2033&gt;=2027,2033&lt;=2028),Assumptions!$B$45/2,0)</f>
        <v>0</v>
      </c>
      <c r="J4" s="16" t="n">
        <f aca="false">IF(AND(2034&gt;=2027,2034&lt;=2028),Assumptions!$B$45/2,0)</f>
        <v>0</v>
      </c>
      <c r="K4" s="16" t="n">
        <f aca="false">IF(AND(2035&gt;=2027,2035&lt;=2028),Assumptions!$B$45/2,0)</f>
        <v>0</v>
      </c>
      <c r="L4" s="16" t="n">
        <f aca="false">IF(AND(2036&gt;=2027,2036&lt;=2028),Assumptions!$B$45/2,0)</f>
        <v>0</v>
      </c>
      <c r="M4" s="16" t="n">
        <f aca="false">IF(AND(2037&gt;=2027,2037&lt;=2028),Assumptions!$B$45/2,0)</f>
        <v>0</v>
      </c>
      <c r="N4" s="16" t="n">
        <f aca="false">IF(AND(2038&gt;=2027,2038&lt;=2028),Assumptions!$B$45/2,0)</f>
        <v>0</v>
      </c>
      <c r="O4" s="16" t="n">
        <f aca="false">IF(AND(2039&gt;=2027,2039&lt;=2028),Assumptions!$B$45/2,0)</f>
        <v>0</v>
      </c>
      <c r="P4" s="16" t="n">
        <f aca="false">IF(AND(2040&gt;=2027,2040&lt;=2028),Assumptions!$B$45/2,0)</f>
        <v>0</v>
      </c>
      <c r="Q4" s="16" t="n">
        <f aca="false">IF(AND(2041&gt;=2027,2041&lt;=2028),Assumptions!$B$45/2,0)</f>
        <v>0</v>
      </c>
      <c r="R4" s="16" t="n">
        <f aca="false">IF(AND(2042&gt;=2027,2042&lt;=2028),Assumptions!$B$45/2,0)</f>
        <v>0</v>
      </c>
      <c r="S4" s="16" t="n">
        <f aca="false">IF(AND(2043&gt;=2027,2043&lt;=2028),Assumptions!$B$45/2,0)</f>
        <v>0</v>
      </c>
      <c r="T4" s="16" t="n">
        <f aca="false">IF(AND(2044&gt;=2027,2044&lt;=2028),Assumptions!$B$45/2,0)</f>
        <v>0</v>
      </c>
      <c r="U4" s="16" t="n">
        <f aca="false">IF(AND(2045&gt;=2027,2045&lt;=2028),Assumptions!$B$45/2,0)</f>
        <v>0</v>
      </c>
      <c r="V4" s="16" t="n">
        <f aca="false">IF(AND(2046&gt;=2027,2046&lt;=2028),Assumptions!$B$45/2,0)</f>
        <v>0</v>
      </c>
      <c r="W4" s="16" t="n">
        <f aca="false">IF(AND(2047&gt;=2027,2047&lt;=2028),Assumptions!$B$45/2,0)</f>
        <v>0</v>
      </c>
      <c r="X4" s="16" t="n">
        <f aca="false">IF(AND(2048&gt;=2027,2048&lt;=2028),Assumptions!$B$45/2,0)</f>
        <v>0</v>
      </c>
      <c r="Y4" s="16" t="n">
        <f aca="false">IF(AND(2049&gt;=2027,2049&lt;=2028),Assumptions!$B$45/2,0)</f>
        <v>0</v>
      </c>
      <c r="Z4" s="16" t="n">
        <f aca="false">IF(AND(2050&gt;=2027,2050&lt;=2028),Assumptions!$B$45/2,0)</f>
        <v>0</v>
      </c>
      <c r="AA4" s="16" t="n">
        <f aca="false">IF(AND(2051&gt;=2027,2051&lt;=2028),Assumptions!$B$45/2,0)</f>
        <v>0</v>
      </c>
      <c r="AB4" s="16" t="n">
        <f aca="false">IF(AND(2052&gt;=2027,2052&lt;=2028),Assumptions!$B$45/2,0)</f>
        <v>0</v>
      </c>
      <c r="AC4" s="16" t="n">
        <f aca="false">IF(AND(2053&gt;=2027,2053&lt;=2028),Assumptions!$B$45/2,0)</f>
        <v>0</v>
      </c>
      <c r="AD4" s="16" t="n">
        <f aca="false">IF(AND(2054&gt;=2027,2054&lt;=2028),Assumptions!$B$45/2,0)</f>
        <v>0</v>
      </c>
      <c r="AE4" s="16" t="n">
        <f aca="false">IF(AND(2055&gt;=2027,2055&lt;=2028),Assumptions!$B$45/2,0)</f>
        <v>0</v>
      </c>
      <c r="AF4" s="16" t="n">
        <f aca="false">IF(AND(2056&gt;=2027,2056&lt;=2028),Assumptions!$B$45/2,0)</f>
        <v>0</v>
      </c>
    </row>
    <row r="5" customFormat="false" ht="15" hidden="false" customHeight="false" outlineLevel="0" collapsed="false">
      <c r="A5" s="4" t="s">
        <v>111</v>
      </c>
      <c r="B5" s="8" t="s">
        <v>110</v>
      </c>
      <c r="C5" s="16" t="n">
        <f aca="false">IF(AND(2027&gt;=2027,2027&lt;=Assumptions!$B$4),Assumptions!$B$46/(Assumptions!$B$4-2027+1),0)</f>
        <v>148</v>
      </c>
      <c r="D5" s="16" t="n">
        <f aca="false">IF(AND(2028&gt;=2027,2028&lt;=Assumptions!$B$4),Assumptions!$B$46/(Assumptions!$B$4-2027+1),0)</f>
        <v>148</v>
      </c>
      <c r="E5" s="16" t="n">
        <f aca="false">IF(AND(2029&gt;=2027,2029&lt;=Assumptions!$B$4),Assumptions!$B$46/(Assumptions!$B$4-2027+1),0)</f>
        <v>148</v>
      </c>
      <c r="F5" s="16" t="n">
        <f aca="false">IF(AND(2030&gt;=2027,2030&lt;=Assumptions!$B$4),Assumptions!$B$46/(Assumptions!$B$4-2027+1),0)</f>
        <v>148</v>
      </c>
      <c r="G5" s="16" t="n">
        <f aca="false">IF(AND(2031&gt;=2027,2031&lt;=Assumptions!$B$4),Assumptions!$B$46/(Assumptions!$B$4-2027+1),0)</f>
        <v>148</v>
      </c>
      <c r="H5" s="16" t="n">
        <f aca="false">IF(AND(2032&gt;=2027,2032&lt;=Assumptions!$B$4),Assumptions!$B$46/(Assumptions!$B$4-2027+1),0)</f>
        <v>0</v>
      </c>
      <c r="I5" s="16" t="n">
        <f aca="false">IF(AND(2033&gt;=2027,2033&lt;=Assumptions!$B$4),Assumptions!$B$46/(Assumptions!$B$4-2027+1),0)</f>
        <v>0</v>
      </c>
      <c r="J5" s="16" t="n">
        <f aca="false">IF(AND(2034&gt;=2027,2034&lt;=Assumptions!$B$4),Assumptions!$B$46/(Assumptions!$B$4-2027+1),0)</f>
        <v>0</v>
      </c>
      <c r="K5" s="16" t="n">
        <f aca="false">IF(AND(2035&gt;=2027,2035&lt;=Assumptions!$B$4),Assumptions!$B$46/(Assumptions!$B$4-2027+1),0)</f>
        <v>0</v>
      </c>
      <c r="L5" s="16" t="n">
        <f aca="false">IF(AND(2036&gt;=2027,2036&lt;=Assumptions!$B$4),Assumptions!$B$46/(Assumptions!$B$4-2027+1),0)</f>
        <v>0</v>
      </c>
      <c r="M5" s="16" t="n">
        <f aca="false">IF(AND(2037&gt;=2027,2037&lt;=Assumptions!$B$4),Assumptions!$B$46/(Assumptions!$B$4-2027+1),0)</f>
        <v>0</v>
      </c>
      <c r="N5" s="16" t="n">
        <f aca="false">IF(AND(2038&gt;=2027,2038&lt;=Assumptions!$B$4),Assumptions!$B$46/(Assumptions!$B$4-2027+1),0)</f>
        <v>0</v>
      </c>
      <c r="O5" s="16" t="n">
        <f aca="false">IF(AND(2039&gt;=2027,2039&lt;=Assumptions!$B$4),Assumptions!$B$46/(Assumptions!$B$4-2027+1),0)</f>
        <v>0</v>
      </c>
      <c r="P5" s="16" t="n">
        <f aca="false">IF(AND(2040&gt;=2027,2040&lt;=Assumptions!$B$4),Assumptions!$B$46/(Assumptions!$B$4-2027+1),0)</f>
        <v>0</v>
      </c>
      <c r="Q5" s="16" t="n">
        <f aca="false">IF(AND(2041&gt;=2027,2041&lt;=Assumptions!$B$4),Assumptions!$B$46/(Assumptions!$B$4-2027+1),0)</f>
        <v>0</v>
      </c>
      <c r="R5" s="16" t="n">
        <f aca="false">IF(AND(2042&gt;=2027,2042&lt;=Assumptions!$B$4),Assumptions!$B$46/(Assumptions!$B$4-2027+1),0)</f>
        <v>0</v>
      </c>
      <c r="S5" s="16" t="n">
        <f aca="false">IF(AND(2043&gt;=2027,2043&lt;=Assumptions!$B$4),Assumptions!$B$46/(Assumptions!$B$4-2027+1),0)</f>
        <v>0</v>
      </c>
      <c r="T5" s="16" t="n">
        <f aca="false">IF(AND(2044&gt;=2027,2044&lt;=Assumptions!$B$4),Assumptions!$B$46/(Assumptions!$B$4-2027+1),0)</f>
        <v>0</v>
      </c>
      <c r="U5" s="16" t="n">
        <f aca="false">IF(AND(2045&gt;=2027,2045&lt;=Assumptions!$B$4),Assumptions!$B$46/(Assumptions!$B$4-2027+1),0)</f>
        <v>0</v>
      </c>
      <c r="V5" s="16" t="n">
        <f aca="false">IF(AND(2046&gt;=2027,2046&lt;=Assumptions!$B$4),Assumptions!$B$46/(Assumptions!$B$4-2027+1),0)</f>
        <v>0</v>
      </c>
      <c r="W5" s="16" t="n">
        <f aca="false">IF(AND(2047&gt;=2027,2047&lt;=Assumptions!$B$4),Assumptions!$B$46/(Assumptions!$B$4-2027+1),0)</f>
        <v>0</v>
      </c>
      <c r="X5" s="16" t="n">
        <f aca="false">IF(AND(2048&gt;=2027,2048&lt;=Assumptions!$B$4),Assumptions!$B$46/(Assumptions!$B$4-2027+1),0)</f>
        <v>0</v>
      </c>
      <c r="Y5" s="16" t="n">
        <f aca="false">IF(AND(2049&gt;=2027,2049&lt;=Assumptions!$B$4),Assumptions!$B$46/(Assumptions!$B$4-2027+1),0)</f>
        <v>0</v>
      </c>
      <c r="Z5" s="16" t="n">
        <f aca="false">IF(AND(2050&gt;=2027,2050&lt;=Assumptions!$B$4),Assumptions!$B$46/(Assumptions!$B$4-2027+1),0)</f>
        <v>0</v>
      </c>
      <c r="AA5" s="16" t="n">
        <f aca="false">IF(AND(2051&gt;=2027,2051&lt;=Assumptions!$B$4),Assumptions!$B$46/(Assumptions!$B$4-2027+1),0)</f>
        <v>0</v>
      </c>
      <c r="AB5" s="16" t="n">
        <f aca="false">IF(AND(2052&gt;=2027,2052&lt;=Assumptions!$B$4),Assumptions!$B$46/(Assumptions!$B$4-2027+1),0)</f>
        <v>0</v>
      </c>
      <c r="AC5" s="16" t="n">
        <f aca="false">IF(AND(2053&gt;=2027,2053&lt;=Assumptions!$B$4),Assumptions!$B$46/(Assumptions!$B$4-2027+1),0)</f>
        <v>0</v>
      </c>
      <c r="AD5" s="16" t="n">
        <f aca="false">IF(AND(2054&gt;=2027,2054&lt;=Assumptions!$B$4),Assumptions!$B$46/(Assumptions!$B$4-2027+1),0)</f>
        <v>0</v>
      </c>
      <c r="AE5" s="16" t="n">
        <f aca="false">IF(AND(2055&gt;=2027,2055&lt;=Assumptions!$B$4),Assumptions!$B$46/(Assumptions!$B$4-2027+1),0)</f>
        <v>0</v>
      </c>
      <c r="AF5" s="16" t="n">
        <f aca="false">IF(AND(2056&gt;=2027,2056&lt;=Assumptions!$B$4),Assumptions!$B$46/(Assumptions!$B$4-2027+1),0)</f>
        <v>0</v>
      </c>
    </row>
    <row r="6" customFormat="false" ht="15" hidden="false" customHeight="false" outlineLevel="0" collapsed="false">
      <c r="A6" s="4" t="s">
        <v>112</v>
      </c>
      <c r="B6" s="8"/>
      <c r="C6" s="16" t="n">
        <f aca="false">IF(AND(2027&gt;=Assumptions!$B$4+1,2027&lt;=Assumptions!$B$5-1),Assumptions!$B$47/(Assumptions!$B$5-1-Assumptions!$B$4),0)</f>
        <v>0</v>
      </c>
      <c r="D6" s="16" t="n">
        <f aca="false">IF(AND(2028&gt;=Assumptions!$B$4+1,2028&lt;=Assumptions!$B$5-1),Assumptions!$B$47/(Assumptions!$B$5-1-Assumptions!$B$4),0)</f>
        <v>0</v>
      </c>
      <c r="E6" s="16" t="n">
        <f aca="false">IF(AND(2029&gt;=Assumptions!$B$4+1,2029&lt;=Assumptions!$B$5-1),Assumptions!$B$47/(Assumptions!$B$5-1-Assumptions!$B$4),0)</f>
        <v>0</v>
      </c>
      <c r="F6" s="16" t="n">
        <f aca="false">IF(AND(2030&gt;=Assumptions!$B$4+1,2030&lt;=Assumptions!$B$5-1),Assumptions!$B$47/(Assumptions!$B$5-1-Assumptions!$B$4),0)</f>
        <v>0</v>
      </c>
      <c r="G6" s="16" t="n">
        <f aca="false">IF(AND(2031&gt;=Assumptions!$B$4+1,2031&lt;=Assumptions!$B$5-1),Assumptions!$B$47/(Assumptions!$B$5-1-Assumptions!$B$4),0)</f>
        <v>0</v>
      </c>
      <c r="H6" s="16" t="n">
        <f aca="false">IF(AND(2032&gt;=Assumptions!$B$4+1,2032&lt;=Assumptions!$B$5-1),Assumptions!$B$47/(Assumptions!$B$5-1-Assumptions!$B$4),0)</f>
        <v>143.75</v>
      </c>
      <c r="I6" s="16" t="n">
        <f aca="false">IF(AND(2033&gt;=Assumptions!$B$4+1,2033&lt;=Assumptions!$B$5-1),Assumptions!$B$47/(Assumptions!$B$5-1-Assumptions!$B$4),0)</f>
        <v>143.75</v>
      </c>
      <c r="J6" s="16" t="n">
        <f aca="false">IF(AND(2034&gt;=Assumptions!$B$4+1,2034&lt;=Assumptions!$B$5-1),Assumptions!$B$47/(Assumptions!$B$5-1-Assumptions!$B$4),0)</f>
        <v>143.75</v>
      </c>
      <c r="K6" s="16" t="n">
        <f aca="false">IF(AND(2035&gt;=Assumptions!$B$4+1,2035&lt;=Assumptions!$B$5-1),Assumptions!$B$47/(Assumptions!$B$5-1-Assumptions!$B$4),0)</f>
        <v>143.75</v>
      </c>
      <c r="L6" s="16" t="n">
        <f aca="false">IF(AND(2036&gt;=Assumptions!$B$4+1,2036&lt;=Assumptions!$B$5-1),Assumptions!$B$47/(Assumptions!$B$5-1-Assumptions!$B$4),0)</f>
        <v>0</v>
      </c>
      <c r="M6" s="16" t="n">
        <f aca="false">IF(AND(2037&gt;=Assumptions!$B$4+1,2037&lt;=Assumptions!$B$5-1),Assumptions!$B$47/(Assumptions!$B$5-1-Assumptions!$B$4),0)</f>
        <v>0</v>
      </c>
      <c r="N6" s="16" t="n">
        <f aca="false">IF(AND(2038&gt;=Assumptions!$B$4+1,2038&lt;=Assumptions!$B$5-1),Assumptions!$B$47/(Assumptions!$B$5-1-Assumptions!$B$4),0)</f>
        <v>0</v>
      </c>
      <c r="O6" s="16" t="n">
        <f aca="false">IF(AND(2039&gt;=Assumptions!$B$4+1,2039&lt;=Assumptions!$B$5-1),Assumptions!$B$47/(Assumptions!$B$5-1-Assumptions!$B$4),0)</f>
        <v>0</v>
      </c>
      <c r="P6" s="16" t="n">
        <f aca="false">IF(AND(2040&gt;=Assumptions!$B$4+1,2040&lt;=Assumptions!$B$5-1),Assumptions!$B$47/(Assumptions!$B$5-1-Assumptions!$B$4),0)</f>
        <v>0</v>
      </c>
      <c r="Q6" s="16" t="n">
        <f aca="false">IF(AND(2041&gt;=Assumptions!$B$4+1,2041&lt;=Assumptions!$B$5-1),Assumptions!$B$47/(Assumptions!$B$5-1-Assumptions!$B$4),0)</f>
        <v>0</v>
      </c>
      <c r="R6" s="16" t="n">
        <f aca="false">IF(AND(2042&gt;=Assumptions!$B$4+1,2042&lt;=Assumptions!$B$5-1),Assumptions!$B$47/(Assumptions!$B$5-1-Assumptions!$B$4),0)</f>
        <v>0</v>
      </c>
      <c r="S6" s="16" t="n">
        <f aca="false">IF(AND(2043&gt;=Assumptions!$B$4+1,2043&lt;=Assumptions!$B$5-1),Assumptions!$B$47/(Assumptions!$B$5-1-Assumptions!$B$4),0)</f>
        <v>0</v>
      </c>
      <c r="T6" s="16" t="n">
        <f aca="false">IF(AND(2044&gt;=Assumptions!$B$4+1,2044&lt;=Assumptions!$B$5-1),Assumptions!$B$47/(Assumptions!$B$5-1-Assumptions!$B$4),0)</f>
        <v>0</v>
      </c>
      <c r="U6" s="16" t="n">
        <f aca="false">IF(AND(2045&gt;=Assumptions!$B$4+1,2045&lt;=Assumptions!$B$5-1),Assumptions!$B$47/(Assumptions!$B$5-1-Assumptions!$B$4),0)</f>
        <v>0</v>
      </c>
      <c r="V6" s="16" t="n">
        <f aca="false">IF(AND(2046&gt;=Assumptions!$B$4+1,2046&lt;=Assumptions!$B$5-1),Assumptions!$B$47/(Assumptions!$B$5-1-Assumptions!$B$4),0)</f>
        <v>0</v>
      </c>
      <c r="W6" s="16" t="n">
        <f aca="false">IF(AND(2047&gt;=Assumptions!$B$4+1,2047&lt;=Assumptions!$B$5-1),Assumptions!$B$47/(Assumptions!$B$5-1-Assumptions!$B$4),0)</f>
        <v>0</v>
      </c>
      <c r="X6" s="16" t="n">
        <f aca="false">IF(AND(2048&gt;=Assumptions!$B$4+1,2048&lt;=Assumptions!$B$5-1),Assumptions!$B$47/(Assumptions!$B$5-1-Assumptions!$B$4),0)</f>
        <v>0</v>
      </c>
      <c r="Y6" s="16" t="n">
        <f aca="false">IF(AND(2049&gt;=Assumptions!$B$4+1,2049&lt;=Assumptions!$B$5-1),Assumptions!$B$47/(Assumptions!$B$5-1-Assumptions!$B$4),0)</f>
        <v>0</v>
      </c>
      <c r="Z6" s="16" t="n">
        <f aca="false">IF(AND(2050&gt;=Assumptions!$B$4+1,2050&lt;=Assumptions!$B$5-1),Assumptions!$B$47/(Assumptions!$B$5-1-Assumptions!$B$4),0)</f>
        <v>0</v>
      </c>
      <c r="AA6" s="16" t="n">
        <f aca="false">IF(AND(2051&gt;=Assumptions!$B$4+1,2051&lt;=Assumptions!$B$5-1),Assumptions!$B$47/(Assumptions!$B$5-1-Assumptions!$B$4),0)</f>
        <v>0</v>
      </c>
      <c r="AB6" s="16" t="n">
        <f aca="false">IF(AND(2052&gt;=Assumptions!$B$4+1,2052&lt;=Assumptions!$B$5-1),Assumptions!$B$47/(Assumptions!$B$5-1-Assumptions!$B$4),0)</f>
        <v>0</v>
      </c>
      <c r="AC6" s="16" t="n">
        <f aca="false">IF(AND(2053&gt;=Assumptions!$B$4+1,2053&lt;=Assumptions!$B$5-1),Assumptions!$B$47/(Assumptions!$B$5-1-Assumptions!$B$4),0)</f>
        <v>0</v>
      </c>
      <c r="AD6" s="16" t="n">
        <f aca="false">IF(AND(2054&gt;=Assumptions!$B$4+1,2054&lt;=Assumptions!$B$5-1),Assumptions!$B$47/(Assumptions!$B$5-1-Assumptions!$B$4),0)</f>
        <v>0</v>
      </c>
      <c r="AE6" s="16" t="n">
        <f aca="false">IF(AND(2055&gt;=Assumptions!$B$4+1,2055&lt;=Assumptions!$B$5-1),Assumptions!$B$47/(Assumptions!$B$5-1-Assumptions!$B$4),0)</f>
        <v>0</v>
      </c>
      <c r="AF6" s="16" t="n">
        <f aca="false">IF(AND(2056&gt;=Assumptions!$B$4+1,2056&lt;=Assumptions!$B$5-1),Assumptions!$B$47/(Assumptions!$B$5-1-Assumptions!$B$4),0)</f>
        <v>0</v>
      </c>
    </row>
    <row r="7" customFormat="false" ht="15" hidden="false" customHeight="false" outlineLevel="0" collapsed="false">
      <c r="A7" s="4" t="s">
        <v>113</v>
      </c>
      <c r="B7" s="8"/>
      <c r="C7" s="16" t="n">
        <f aca="false">IF(AND(2027&gt;=Assumptions!$B$5,2027&lt;=Assumptions!$B$5+3),Assumptions!$B$48/4,0)</f>
        <v>0</v>
      </c>
      <c r="D7" s="16" t="n">
        <f aca="false">IF(AND(2028&gt;=Assumptions!$B$5,2028&lt;=Assumptions!$B$5+3),Assumptions!$B$48/4,0)</f>
        <v>0</v>
      </c>
      <c r="E7" s="16" t="n">
        <f aca="false">IF(AND(2029&gt;=Assumptions!$B$5,2029&lt;=Assumptions!$B$5+3),Assumptions!$B$48/4,0)</f>
        <v>0</v>
      </c>
      <c r="F7" s="16" t="n">
        <f aca="false">IF(AND(2030&gt;=Assumptions!$B$5,2030&lt;=Assumptions!$B$5+3),Assumptions!$B$48/4,0)</f>
        <v>0</v>
      </c>
      <c r="G7" s="16" t="n">
        <f aca="false">IF(AND(2031&gt;=Assumptions!$B$5,2031&lt;=Assumptions!$B$5+3),Assumptions!$B$48/4,0)</f>
        <v>0</v>
      </c>
      <c r="H7" s="16" t="n">
        <f aca="false">IF(AND(2032&gt;=Assumptions!$B$5,2032&lt;=Assumptions!$B$5+3),Assumptions!$B$48/4,0)</f>
        <v>0</v>
      </c>
      <c r="I7" s="16" t="n">
        <f aca="false">IF(AND(2033&gt;=Assumptions!$B$5,2033&lt;=Assumptions!$B$5+3),Assumptions!$B$48/4,0)</f>
        <v>0</v>
      </c>
      <c r="J7" s="16" t="n">
        <f aca="false">IF(AND(2034&gt;=Assumptions!$B$5,2034&lt;=Assumptions!$B$5+3),Assumptions!$B$48/4,0)</f>
        <v>0</v>
      </c>
      <c r="K7" s="16" t="n">
        <f aca="false">IF(AND(2035&gt;=Assumptions!$B$5,2035&lt;=Assumptions!$B$5+3),Assumptions!$B$48/4,0)</f>
        <v>0</v>
      </c>
      <c r="L7" s="16" t="n">
        <f aca="false">IF(AND(2036&gt;=Assumptions!$B$5,2036&lt;=Assumptions!$B$5+3),Assumptions!$B$48/4,0)</f>
        <v>106.25</v>
      </c>
      <c r="M7" s="16" t="n">
        <f aca="false">IF(AND(2037&gt;=Assumptions!$B$5,2037&lt;=Assumptions!$B$5+3),Assumptions!$B$48/4,0)</f>
        <v>106.25</v>
      </c>
      <c r="N7" s="16" t="n">
        <f aca="false">IF(AND(2038&gt;=Assumptions!$B$5,2038&lt;=Assumptions!$B$5+3),Assumptions!$B$48/4,0)</f>
        <v>106.25</v>
      </c>
      <c r="O7" s="16" t="n">
        <f aca="false">IF(AND(2039&gt;=Assumptions!$B$5,2039&lt;=Assumptions!$B$5+3),Assumptions!$B$48/4,0)</f>
        <v>106.25</v>
      </c>
      <c r="P7" s="16" t="n">
        <f aca="false">IF(AND(2040&gt;=Assumptions!$B$5,2040&lt;=Assumptions!$B$5+3),Assumptions!$B$48/4,0)</f>
        <v>0</v>
      </c>
      <c r="Q7" s="16" t="n">
        <f aca="false">IF(AND(2041&gt;=Assumptions!$B$5,2041&lt;=Assumptions!$B$5+3),Assumptions!$B$48/4,0)</f>
        <v>0</v>
      </c>
      <c r="R7" s="16" t="n">
        <f aca="false">IF(AND(2042&gt;=Assumptions!$B$5,2042&lt;=Assumptions!$B$5+3),Assumptions!$B$48/4,0)</f>
        <v>0</v>
      </c>
      <c r="S7" s="16" t="n">
        <f aca="false">IF(AND(2043&gt;=Assumptions!$B$5,2043&lt;=Assumptions!$B$5+3),Assumptions!$B$48/4,0)</f>
        <v>0</v>
      </c>
      <c r="T7" s="16" t="n">
        <f aca="false">IF(AND(2044&gt;=Assumptions!$B$5,2044&lt;=Assumptions!$B$5+3),Assumptions!$B$48/4,0)</f>
        <v>0</v>
      </c>
      <c r="U7" s="16" t="n">
        <f aca="false">IF(AND(2045&gt;=Assumptions!$B$5,2045&lt;=Assumptions!$B$5+3),Assumptions!$B$48/4,0)</f>
        <v>0</v>
      </c>
      <c r="V7" s="16" t="n">
        <f aca="false">IF(AND(2046&gt;=Assumptions!$B$5,2046&lt;=Assumptions!$B$5+3),Assumptions!$B$48/4,0)</f>
        <v>0</v>
      </c>
      <c r="W7" s="16" t="n">
        <f aca="false">IF(AND(2047&gt;=Assumptions!$B$5,2047&lt;=Assumptions!$B$5+3),Assumptions!$B$48/4,0)</f>
        <v>0</v>
      </c>
      <c r="X7" s="16" t="n">
        <f aca="false">IF(AND(2048&gt;=Assumptions!$B$5,2048&lt;=Assumptions!$B$5+3),Assumptions!$B$48/4,0)</f>
        <v>0</v>
      </c>
      <c r="Y7" s="16" t="n">
        <f aca="false">IF(AND(2049&gt;=Assumptions!$B$5,2049&lt;=Assumptions!$B$5+3),Assumptions!$B$48/4,0)</f>
        <v>0</v>
      </c>
      <c r="Z7" s="16" t="n">
        <f aca="false">IF(AND(2050&gt;=Assumptions!$B$5,2050&lt;=Assumptions!$B$5+3),Assumptions!$B$48/4,0)</f>
        <v>0</v>
      </c>
      <c r="AA7" s="16" t="n">
        <f aca="false">IF(AND(2051&gt;=Assumptions!$B$5,2051&lt;=Assumptions!$B$5+3),Assumptions!$B$48/4,0)</f>
        <v>0</v>
      </c>
      <c r="AB7" s="16" t="n">
        <f aca="false">IF(AND(2052&gt;=Assumptions!$B$5,2052&lt;=Assumptions!$B$5+3),Assumptions!$B$48/4,0)</f>
        <v>0</v>
      </c>
      <c r="AC7" s="16" t="n">
        <f aca="false">IF(AND(2053&gt;=Assumptions!$B$5,2053&lt;=Assumptions!$B$5+3),Assumptions!$B$48/4,0)</f>
        <v>0</v>
      </c>
      <c r="AD7" s="16" t="n">
        <f aca="false">IF(AND(2054&gt;=Assumptions!$B$5,2054&lt;=Assumptions!$B$5+3),Assumptions!$B$48/4,0)</f>
        <v>0</v>
      </c>
      <c r="AE7" s="16" t="n">
        <f aca="false">IF(AND(2055&gt;=Assumptions!$B$5,2055&lt;=Assumptions!$B$5+3),Assumptions!$B$48/4,0)</f>
        <v>0</v>
      </c>
      <c r="AF7" s="16" t="n">
        <f aca="false">IF(AND(2056&gt;=Assumptions!$B$5,2056&lt;=Assumptions!$B$5+3),Assumptions!$B$48/4,0)</f>
        <v>0</v>
      </c>
    </row>
    <row r="8" customFormat="false" ht="15" hidden="false" customHeight="false" outlineLevel="0" collapsed="false">
      <c r="A8" s="4" t="s">
        <v>114</v>
      </c>
      <c r="B8" s="8" t="s">
        <v>115</v>
      </c>
      <c r="C8" s="16" t="n">
        <f aca="false">IF(2027&gt;=Assumptions!$B$4+1,Assumptions!$B$49*SUM($C$9:C9)-Assumptions!$B$49*C9,0)</f>
        <v>0</v>
      </c>
      <c r="D8" s="16" t="n">
        <f aca="false">IF(2028&gt;=Assumptions!$B$4+1,Assumptions!$B$49*SUM($C$9:D9)-Assumptions!$B$49*D9,0)</f>
        <v>0</v>
      </c>
      <c r="E8" s="16" t="n">
        <f aca="false">IF(2029&gt;=Assumptions!$B$4+1,Assumptions!$B$49*SUM($C$9:E9)-Assumptions!$B$49*E9,0)</f>
        <v>0</v>
      </c>
      <c r="F8" s="16" t="n">
        <f aca="false">IF(2030&gt;=Assumptions!$B$4+1,Assumptions!$B$49*SUM($C$9:F9)-Assumptions!$B$49*F9,0)</f>
        <v>0</v>
      </c>
      <c r="G8" s="16" t="n">
        <f aca="false">IF(2031&gt;=Assumptions!$B$4+1,Assumptions!$B$49*SUM($C$9:G9)-Assumptions!$B$49*G9,0)</f>
        <v>0</v>
      </c>
      <c r="H8" s="16" t="n">
        <f aca="false">IF(2032&gt;=Assumptions!$B$4+1,Assumptions!$B$49*SUM($C$9:H9)-Assumptions!$B$49*H9,0)</f>
        <v>8</v>
      </c>
      <c r="I8" s="16" t="n">
        <f aca="false">IF(2033&gt;=Assumptions!$B$4+1,Assumptions!$B$49*SUM($C$9:I9)-Assumptions!$B$49*I9,0)</f>
        <v>9.4375</v>
      </c>
      <c r="J8" s="16" t="n">
        <f aca="false">IF(2034&gt;=Assumptions!$B$4+1,Assumptions!$B$49*SUM($C$9:J9)-Assumptions!$B$49*J9,0)</f>
        <v>10.875</v>
      </c>
      <c r="K8" s="16" t="n">
        <f aca="false">IF(2035&gt;=Assumptions!$B$4+1,Assumptions!$B$49*SUM($C$9:K9)-Assumptions!$B$49*K9,0)</f>
        <v>12.3125</v>
      </c>
      <c r="L8" s="16" t="n">
        <f aca="false">IF(2036&gt;=Assumptions!$B$4+1,Assumptions!$B$49*SUM($C$9:L9)-Assumptions!$B$49*L9,0)</f>
        <v>13.75</v>
      </c>
      <c r="M8" s="16" t="n">
        <f aca="false">IF(2037&gt;=Assumptions!$B$4+1,Assumptions!$B$49*SUM($C$9:M9)-Assumptions!$B$49*M9,0)</f>
        <v>14.8125</v>
      </c>
      <c r="N8" s="16" t="n">
        <f aca="false">IF(2038&gt;=Assumptions!$B$4+1,Assumptions!$B$49*SUM($C$9:N9)-Assumptions!$B$49*N9,0)</f>
        <v>15.875</v>
      </c>
      <c r="O8" s="16" t="n">
        <f aca="false">IF(2039&gt;=Assumptions!$B$4+1,Assumptions!$B$49*SUM($C$9:O9)-Assumptions!$B$49*O9,0)</f>
        <v>16.9375</v>
      </c>
      <c r="P8" s="16" t="n">
        <f aca="false">IF(2040&gt;=Assumptions!$B$4+1,Assumptions!$B$49*SUM($C$9:P9)-Assumptions!$B$49*P9,0)</f>
        <v>18</v>
      </c>
      <c r="Q8" s="16" t="n">
        <f aca="false">IF(2041&gt;=Assumptions!$B$4+1,Assumptions!$B$49*SUM($C$9:Q9)-Assumptions!$B$49*Q9,0)</f>
        <v>18</v>
      </c>
      <c r="R8" s="16" t="n">
        <f aca="false">IF(2042&gt;=Assumptions!$B$4+1,Assumptions!$B$49*SUM($C$9:R9)-Assumptions!$B$49*R9,0)</f>
        <v>18</v>
      </c>
      <c r="S8" s="16" t="n">
        <f aca="false">IF(2043&gt;=Assumptions!$B$4+1,Assumptions!$B$49*SUM($C$9:S9)-Assumptions!$B$49*S9,0)</f>
        <v>18</v>
      </c>
      <c r="T8" s="16" t="n">
        <f aca="false">IF(2044&gt;=Assumptions!$B$4+1,Assumptions!$B$49*SUM($C$9:T9)-Assumptions!$B$49*T9,0)</f>
        <v>18</v>
      </c>
      <c r="U8" s="16" t="n">
        <f aca="false">IF(2045&gt;=Assumptions!$B$4+1,Assumptions!$B$49*SUM($C$9:U9)-Assumptions!$B$49*U9,0)</f>
        <v>18</v>
      </c>
      <c r="V8" s="16" t="n">
        <f aca="false">IF(2046&gt;=Assumptions!$B$4+1,Assumptions!$B$49*SUM($C$9:V9)-Assumptions!$B$49*V9,0)</f>
        <v>18</v>
      </c>
      <c r="W8" s="16" t="n">
        <f aca="false">IF(2047&gt;=Assumptions!$B$4+1,Assumptions!$B$49*SUM($C$9:W9)-Assumptions!$B$49*W9,0)</f>
        <v>18</v>
      </c>
      <c r="X8" s="16" t="n">
        <f aca="false">IF(2048&gt;=Assumptions!$B$4+1,Assumptions!$B$49*SUM($C$9:X9)-Assumptions!$B$49*X9,0)</f>
        <v>18</v>
      </c>
      <c r="Y8" s="16" t="n">
        <f aca="false">IF(2049&gt;=Assumptions!$B$4+1,Assumptions!$B$49*SUM($C$9:Y9)-Assumptions!$B$49*Y9,0)</f>
        <v>18</v>
      </c>
      <c r="Z8" s="16" t="n">
        <f aca="false">IF(2050&gt;=Assumptions!$B$4+1,Assumptions!$B$49*SUM($C$9:Z9)-Assumptions!$B$49*Z9,0)</f>
        <v>18</v>
      </c>
      <c r="AA8" s="16" t="n">
        <f aca="false">IF(2051&gt;=Assumptions!$B$4+1,Assumptions!$B$49*SUM($C$9:AA9)-Assumptions!$B$49*AA9,0)</f>
        <v>18</v>
      </c>
      <c r="AB8" s="16" t="n">
        <f aca="false">IF(2052&gt;=Assumptions!$B$4+1,Assumptions!$B$49*SUM($C$9:AB9)-Assumptions!$B$49*AB9,0)</f>
        <v>18</v>
      </c>
      <c r="AC8" s="16" t="n">
        <f aca="false">IF(2053&gt;=Assumptions!$B$4+1,Assumptions!$B$49*SUM($C$9:AC9)-Assumptions!$B$49*AC9,0)</f>
        <v>18</v>
      </c>
      <c r="AD8" s="16" t="n">
        <f aca="false">IF(2054&gt;=Assumptions!$B$4+1,Assumptions!$B$49*SUM($C$9:AD9)-Assumptions!$B$49*AD9,0)</f>
        <v>18</v>
      </c>
      <c r="AE8" s="16" t="n">
        <f aca="false">IF(2055&gt;=Assumptions!$B$4+1,Assumptions!$B$49*SUM($C$9:AE9)-Assumptions!$B$49*AE9,0)</f>
        <v>18</v>
      </c>
      <c r="AF8" s="16" t="n">
        <f aca="false">IF(2056&gt;=Assumptions!$B$4+1,Assumptions!$B$49*SUM($C$9:AF9)-Assumptions!$B$49*AF9,0)</f>
        <v>18</v>
      </c>
    </row>
    <row r="9" customFormat="false" ht="15" hidden="false" customHeight="false" outlineLevel="0" collapsed="false">
      <c r="A9" s="17" t="s">
        <v>116</v>
      </c>
      <c r="B9" s="18"/>
      <c r="C9" s="19" t="n">
        <f aca="false">SUM(C4:C7)</f>
        <v>178</v>
      </c>
      <c r="D9" s="19" t="n">
        <f aca="false">SUM(D4:D7)</f>
        <v>178</v>
      </c>
      <c r="E9" s="19" t="n">
        <f aca="false">SUM(E4:E7)</f>
        <v>148</v>
      </c>
      <c r="F9" s="19" t="n">
        <f aca="false">SUM(F4:F7)</f>
        <v>148</v>
      </c>
      <c r="G9" s="19" t="n">
        <f aca="false">SUM(G4:G7)</f>
        <v>148</v>
      </c>
      <c r="H9" s="19" t="n">
        <f aca="false">SUM(H4:H7)</f>
        <v>143.75</v>
      </c>
      <c r="I9" s="19" t="n">
        <f aca="false">SUM(I4:I7)</f>
        <v>143.75</v>
      </c>
      <c r="J9" s="19" t="n">
        <f aca="false">SUM(J4:J7)</f>
        <v>143.75</v>
      </c>
      <c r="K9" s="19" t="n">
        <f aca="false">SUM(K4:K7)</f>
        <v>143.75</v>
      </c>
      <c r="L9" s="19" t="n">
        <f aca="false">SUM(L4:L7)</f>
        <v>106.25</v>
      </c>
      <c r="M9" s="19" t="n">
        <f aca="false">SUM(M4:M7)</f>
        <v>106.25</v>
      </c>
      <c r="N9" s="19" t="n">
        <f aca="false">SUM(N4:N7)</f>
        <v>106.25</v>
      </c>
      <c r="O9" s="19" t="n">
        <f aca="false">SUM(O4:O7)</f>
        <v>106.25</v>
      </c>
      <c r="P9" s="19" t="n">
        <f aca="false">SUM(P4:P7)</f>
        <v>0</v>
      </c>
      <c r="Q9" s="19" t="n">
        <f aca="false">SUM(Q4:Q7)</f>
        <v>0</v>
      </c>
      <c r="R9" s="19" t="n">
        <f aca="false">SUM(R4:R7)</f>
        <v>0</v>
      </c>
      <c r="S9" s="19" t="n">
        <f aca="false">SUM(S4:S7)</f>
        <v>0</v>
      </c>
      <c r="T9" s="19" t="n">
        <f aca="false">SUM(T4:T7)</f>
        <v>0</v>
      </c>
      <c r="U9" s="19" t="n">
        <f aca="false">SUM(U4:U7)</f>
        <v>0</v>
      </c>
      <c r="V9" s="19" t="n">
        <f aca="false">SUM(V4:V7)</f>
        <v>0</v>
      </c>
      <c r="W9" s="19" t="n">
        <f aca="false">SUM(W4:W7)</f>
        <v>0</v>
      </c>
      <c r="X9" s="19" t="n">
        <f aca="false">SUM(X4:X7)</f>
        <v>0</v>
      </c>
      <c r="Y9" s="19" t="n">
        <f aca="false">SUM(Y4:Y7)</f>
        <v>0</v>
      </c>
      <c r="Z9" s="19" t="n">
        <f aca="false">SUM(Z4:Z7)</f>
        <v>0</v>
      </c>
      <c r="AA9" s="19" t="n">
        <f aca="false">SUM(AA4:AA7)</f>
        <v>0</v>
      </c>
      <c r="AB9" s="19" t="n">
        <f aca="false">SUM(AB4:AB7)</f>
        <v>0</v>
      </c>
      <c r="AC9" s="19" t="n">
        <f aca="false">SUM(AC4:AC7)</f>
        <v>0</v>
      </c>
      <c r="AD9" s="19" t="n">
        <f aca="false">SUM(AD4:AD7)</f>
        <v>0</v>
      </c>
      <c r="AE9" s="19" t="n">
        <f aca="false">SUM(AE4:AE7)</f>
        <v>0</v>
      </c>
      <c r="AF9" s="19" t="n">
        <f aca="false">SUM(AF4:AF7)</f>
        <v>0</v>
      </c>
    </row>
    <row r="10" customFormat="false" ht="15" hidden="false" customHeight="false" outlineLevel="0" collapsed="false">
      <c r="A10" s="17" t="s">
        <v>117</v>
      </c>
      <c r="B10" s="18"/>
      <c r="C10" s="19" t="n">
        <f aca="false">C8+C9</f>
        <v>178</v>
      </c>
      <c r="D10" s="19" t="n">
        <f aca="false">D8+D9</f>
        <v>178</v>
      </c>
      <c r="E10" s="19" t="n">
        <f aca="false">E8+E9</f>
        <v>148</v>
      </c>
      <c r="F10" s="19" t="n">
        <f aca="false">F8+F9</f>
        <v>148</v>
      </c>
      <c r="G10" s="19" t="n">
        <f aca="false">G8+G9</f>
        <v>148</v>
      </c>
      <c r="H10" s="19" t="n">
        <f aca="false">H8+H9</f>
        <v>151.75</v>
      </c>
      <c r="I10" s="19" t="n">
        <f aca="false">I8+I9</f>
        <v>153.1875</v>
      </c>
      <c r="J10" s="19" t="n">
        <f aca="false">J8+J9</f>
        <v>154.625</v>
      </c>
      <c r="K10" s="19" t="n">
        <f aca="false">K8+K9</f>
        <v>156.0625</v>
      </c>
      <c r="L10" s="19" t="n">
        <f aca="false">L8+L9</f>
        <v>120</v>
      </c>
      <c r="M10" s="19" t="n">
        <f aca="false">M8+M9</f>
        <v>121.0625</v>
      </c>
      <c r="N10" s="19" t="n">
        <f aca="false">N8+N9</f>
        <v>122.125</v>
      </c>
      <c r="O10" s="19" t="n">
        <f aca="false">O8+O9</f>
        <v>123.1875</v>
      </c>
      <c r="P10" s="19" t="n">
        <f aca="false">P8+P9</f>
        <v>18</v>
      </c>
      <c r="Q10" s="19" t="n">
        <f aca="false">Q8+Q9</f>
        <v>18</v>
      </c>
      <c r="R10" s="19" t="n">
        <f aca="false">R8+R9</f>
        <v>18</v>
      </c>
      <c r="S10" s="19" t="n">
        <f aca="false">S8+S9</f>
        <v>18</v>
      </c>
      <c r="T10" s="19" t="n">
        <f aca="false">T8+T9</f>
        <v>18</v>
      </c>
      <c r="U10" s="19" t="n">
        <f aca="false">U8+U9</f>
        <v>18</v>
      </c>
      <c r="V10" s="19" t="n">
        <f aca="false">V8+V9</f>
        <v>18</v>
      </c>
      <c r="W10" s="19" t="n">
        <f aca="false">W8+W9</f>
        <v>18</v>
      </c>
      <c r="X10" s="19" t="n">
        <f aca="false">X8+X9</f>
        <v>18</v>
      </c>
      <c r="Y10" s="19" t="n">
        <f aca="false">Y8+Y9</f>
        <v>18</v>
      </c>
      <c r="Z10" s="19" t="n">
        <f aca="false">Z8+Z9</f>
        <v>18</v>
      </c>
      <c r="AA10" s="19" t="n">
        <f aca="false">AA8+AA9</f>
        <v>18</v>
      </c>
      <c r="AB10" s="19" t="n">
        <f aca="false">AB8+AB9</f>
        <v>18</v>
      </c>
      <c r="AC10" s="19" t="n">
        <f aca="false">AC8+AC9</f>
        <v>18</v>
      </c>
      <c r="AD10" s="19" t="n">
        <f aca="false">AD8+AD9</f>
        <v>18</v>
      </c>
      <c r="AE10" s="19" t="n">
        <f aca="false">AE8+AE9</f>
        <v>18</v>
      </c>
      <c r="AF10" s="19" t="n">
        <f aca="false">AF8+AF9</f>
        <v>18</v>
      </c>
    </row>
    <row r="11" customFormat="false" ht="15" hidden="false" customHeight="false" outlineLevel="0" collapsed="false">
      <c r="A11" s="5" t="s">
        <v>118</v>
      </c>
      <c r="B11" s="8"/>
      <c r="C11" s="20" t="n">
        <f aca="false">SUM($C$10:C10)</f>
        <v>178</v>
      </c>
      <c r="D11" s="20" t="n">
        <f aca="false">SUM($C$10:D10)</f>
        <v>356</v>
      </c>
      <c r="E11" s="20" t="n">
        <f aca="false">SUM($C$10:E10)</f>
        <v>504</v>
      </c>
      <c r="F11" s="20" t="n">
        <f aca="false">SUM($C$10:F10)</f>
        <v>652</v>
      </c>
      <c r="G11" s="20" t="n">
        <f aca="false">SUM($C$10:G10)</f>
        <v>800</v>
      </c>
      <c r="H11" s="20" t="n">
        <f aca="false">SUM($C$10:H10)</f>
        <v>951.75</v>
      </c>
      <c r="I11" s="20" t="n">
        <f aca="false">SUM($C$10:I10)</f>
        <v>1104.9375</v>
      </c>
      <c r="J11" s="20" t="n">
        <f aca="false">SUM($C$10:J10)</f>
        <v>1259.5625</v>
      </c>
      <c r="K11" s="20" t="n">
        <f aca="false">SUM($C$10:K10)</f>
        <v>1415.625</v>
      </c>
      <c r="L11" s="20" t="n">
        <f aca="false">SUM($C$10:L10)</f>
        <v>1535.625</v>
      </c>
      <c r="M11" s="20" t="n">
        <f aca="false">SUM($C$10:M10)</f>
        <v>1656.6875</v>
      </c>
      <c r="N11" s="20" t="n">
        <f aca="false">SUM($C$10:N10)</f>
        <v>1778.8125</v>
      </c>
      <c r="O11" s="20" t="n">
        <f aca="false">SUM($C$10:O10)</f>
        <v>1902</v>
      </c>
      <c r="P11" s="20" t="n">
        <f aca="false">SUM($C$10:P10)</f>
        <v>1920</v>
      </c>
      <c r="Q11" s="20" t="n">
        <f aca="false">SUM($C$10:Q10)</f>
        <v>1938</v>
      </c>
      <c r="R11" s="20" t="n">
        <f aca="false">SUM($C$10:R10)</f>
        <v>1956</v>
      </c>
      <c r="S11" s="20" t="n">
        <f aca="false">SUM($C$10:S10)</f>
        <v>1974</v>
      </c>
      <c r="T11" s="20" t="n">
        <f aca="false">SUM($C$10:T10)</f>
        <v>1992</v>
      </c>
      <c r="U11" s="20" t="n">
        <f aca="false">SUM($C$10:U10)</f>
        <v>2010</v>
      </c>
      <c r="V11" s="20" t="n">
        <f aca="false">SUM($C$10:V10)</f>
        <v>2028</v>
      </c>
      <c r="W11" s="20" t="n">
        <f aca="false">SUM($C$10:W10)</f>
        <v>2046</v>
      </c>
      <c r="X11" s="20" t="n">
        <f aca="false">SUM($C$10:X10)</f>
        <v>2064</v>
      </c>
      <c r="Y11" s="20" t="n">
        <f aca="false">SUM($C$10:Y10)</f>
        <v>2082</v>
      </c>
      <c r="Z11" s="20" t="n">
        <f aca="false">SUM($C$10:Z10)</f>
        <v>2100</v>
      </c>
      <c r="AA11" s="20" t="n">
        <f aca="false">SUM($C$10:AA10)</f>
        <v>2118</v>
      </c>
      <c r="AB11" s="20" t="n">
        <f aca="false">SUM($C$10:AB10)</f>
        <v>2136</v>
      </c>
      <c r="AC11" s="20" t="n">
        <f aca="false">SUM($C$10:AC10)</f>
        <v>2154</v>
      </c>
      <c r="AD11" s="20" t="n">
        <f aca="false">SUM($C$10:AD10)</f>
        <v>2172</v>
      </c>
      <c r="AE11" s="20" t="n">
        <f aca="false">SUM($C$10:AE10)</f>
        <v>2190</v>
      </c>
      <c r="AF11" s="20" t="n">
        <f aca="false">SUM($C$10:AF10)</f>
        <v>2208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119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120</v>
      </c>
      <c r="B4" s="8" t="s">
        <v>121</v>
      </c>
      <c r="C4" s="21" t="n">
        <f aca="false">MAX(0,2027-Assumptions!$B$4+1)</f>
        <v>0</v>
      </c>
      <c r="D4" s="21" t="n">
        <f aca="false">MAX(0,2028-Assumptions!$B$4+1)</f>
        <v>0</v>
      </c>
      <c r="E4" s="21" t="n">
        <f aca="false">MAX(0,2029-Assumptions!$B$4+1)</f>
        <v>0</v>
      </c>
      <c r="F4" s="21" t="n">
        <f aca="false">MAX(0,2030-Assumptions!$B$4+1)</f>
        <v>0</v>
      </c>
      <c r="G4" s="21" t="n">
        <f aca="false">MAX(0,2031-Assumptions!$B$4+1)</f>
        <v>1</v>
      </c>
      <c r="H4" s="21" t="n">
        <f aca="false">MAX(0,2032-Assumptions!$B$4+1)</f>
        <v>2</v>
      </c>
      <c r="I4" s="21" t="n">
        <f aca="false">MAX(0,2033-Assumptions!$B$4+1)</f>
        <v>3</v>
      </c>
      <c r="J4" s="21" t="n">
        <f aca="false">MAX(0,2034-Assumptions!$B$4+1)</f>
        <v>4</v>
      </c>
      <c r="K4" s="21" t="n">
        <f aca="false">MAX(0,2035-Assumptions!$B$4+1)</f>
        <v>5</v>
      </c>
      <c r="L4" s="21" t="n">
        <f aca="false">MAX(0,2036-Assumptions!$B$4+1)</f>
        <v>6</v>
      </c>
      <c r="M4" s="21" t="n">
        <f aca="false">MAX(0,2037-Assumptions!$B$4+1)</f>
        <v>7</v>
      </c>
      <c r="N4" s="21" t="n">
        <f aca="false">MAX(0,2038-Assumptions!$B$4+1)</f>
        <v>8</v>
      </c>
      <c r="O4" s="21" t="n">
        <f aca="false">MAX(0,2039-Assumptions!$B$4+1)</f>
        <v>9</v>
      </c>
      <c r="P4" s="21" t="n">
        <f aca="false">MAX(0,2040-Assumptions!$B$4+1)</f>
        <v>10</v>
      </c>
      <c r="Q4" s="21" t="n">
        <f aca="false">MAX(0,2041-Assumptions!$B$4+1)</f>
        <v>11</v>
      </c>
      <c r="R4" s="21" t="n">
        <f aca="false">MAX(0,2042-Assumptions!$B$4+1)</f>
        <v>12</v>
      </c>
      <c r="S4" s="21" t="n">
        <f aca="false">MAX(0,2043-Assumptions!$B$4+1)</f>
        <v>13</v>
      </c>
      <c r="T4" s="21" t="n">
        <f aca="false">MAX(0,2044-Assumptions!$B$4+1)</f>
        <v>14</v>
      </c>
      <c r="U4" s="21" t="n">
        <f aca="false">MAX(0,2045-Assumptions!$B$4+1)</f>
        <v>15</v>
      </c>
      <c r="V4" s="21" t="n">
        <f aca="false">MAX(0,2046-Assumptions!$B$4+1)</f>
        <v>16</v>
      </c>
      <c r="W4" s="21" t="n">
        <f aca="false">MAX(0,2047-Assumptions!$B$4+1)</f>
        <v>17</v>
      </c>
      <c r="X4" s="21" t="n">
        <f aca="false">MAX(0,2048-Assumptions!$B$4+1)</f>
        <v>18</v>
      </c>
      <c r="Y4" s="21" t="n">
        <f aca="false">MAX(0,2049-Assumptions!$B$4+1)</f>
        <v>19</v>
      </c>
      <c r="Z4" s="21" t="n">
        <f aca="false">MAX(0,2050-Assumptions!$B$4+1)</f>
        <v>20</v>
      </c>
      <c r="AA4" s="21" t="n">
        <f aca="false">MAX(0,2051-Assumptions!$B$4+1)</f>
        <v>21</v>
      </c>
      <c r="AB4" s="21" t="n">
        <f aca="false">MAX(0,2052-Assumptions!$B$4+1)</f>
        <v>22</v>
      </c>
      <c r="AC4" s="21" t="n">
        <f aca="false">MAX(0,2053-Assumptions!$B$4+1)</f>
        <v>23</v>
      </c>
      <c r="AD4" s="21" t="n">
        <f aca="false">MAX(0,2054-Assumptions!$B$4+1)</f>
        <v>24</v>
      </c>
      <c r="AE4" s="21" t="n">
        <f aca="false">MAX(0,2055-Assumptions!$B$4+1)</f>
        <v>25</v>
      </c>
      <c r="AF4" s="21" t="n">
        <f aca="false">MAX(0,2056-Assumptions!$B$4+1)</f>
        <v>26</v>
      </c>
    </row>
    <row r="5" customFormat="false" ht="15" hidden="false" customHeight="false" outlineLevel="0" collapsed="false">
      <c r="A5" s="4" t="s">
        <v>122</v>
      </c>
      <c r="B5" s="8"/>
      <c r="C5" s="21" t="n">
        <f aca="false">IF(2027&lt;Assumptions!$B$4,0,IF(2027&lt;Assumptions!$B$5,Assumptions!$B$9,Assumptions!$B$10))</f>
        <v>0</v>
      </c>
      <c r="D5" s="21" t="n">
        <f aca="false">IF(2028&lt;Assumptions!$B$4,0,IF(2028&lt;Assumptions!$B$5,Assumptions!$B$9,Assumptions!$B$10))</f>
        <v>0</v>
      </c>
      <c r="E5" s="21" t="n">
        <f aca="false">IF(2029&lt;Assumptions!$B$4,0,IF(2029&lt;Assumptions!$B$5,Assumptions!$B$9,Assumptions!$B$10))</f>
        <v>0</v>
      </c>
      <c r="F5" s="21" t="n">
        <f aca="false">IF(2030&lt;Assumptions!$B$4,0,IF(2030&lt;Assumptions!$B$5,Assumptions!$B$9,Assumptions!$B$10))</f>
        <v>0</v>
      </c>
      <c r="G5" s="21" t="n">
        <f aca="false">IF(2031&lt;Assumptions!$B$4,0,IF(2031&lt;Assumptions!$B$5,Assumptions!$B$9,Assumptions!$B$10))</f>
        <v>400</v>
      </c>
      <c r="H5" s="21" t="n">
        <f aca="false">IF(2032&lt;Assumptions!$B$4,0,IF(2032&lt;Assumptions!$B$5,Assumptions!$B$9,Assumptions!$B$10))</f>
        <v>400</v>
      </c>
      <c r="I5" s="21" t="n">
        <f aca="false">IF(2033&lt;Assumptions!$B$4,0,IF(2033&lt;Assumptions!$B$5,Assumptions!$B$9,Assumptions!$B$10))</f>
        <v>400</v>
      </c>
      <c r="J5" s="21" t="n">
        <f aca="false">IF(2034&lt;Assumptions!$B$4,0,IF(2034&lt;Assumptions!$B$5,Assumptions!$B$9,Assumptions!$B$10))</f>
        <v>400</v>
      </c>
      <c r="K5" s="21" t="n">
        <f aca="false">IF(2035&lt;Assumptions!$B$4,0,IF(2035&lt;Assumptions!$B$5,Assumptions!$B$9,Assumptions!$B$10))</f>
        <v>400</v>
      </c>
      <c r="L5" s="21" t="n">
        <f aca="false">IF(2036&lt;Assumptions!$B$4,0,IF(2036&lt;Assumptions!$B$5,Assumptions!$B$9,Assumptions!$B$10))</f>
        <v>1000</v>
      </c>
      <c r="M5" s="21" t="n">
        <f aca="false">IF(2037&lt;Assumptions!$B$4,0,IF(2037&lt;Assumptions!$B$5,Assumptions!$B$9,Assumptions!$B$10))</f>
        <v>1000</v>
      </c>
      <c r="N5" s="21" t="n">
        <f aca="false">IF(2038&lt;Assumptions!$B$4,0,IF(2038&lt;Assumptions!$B$5,Assumptions!$B$9,Assumptions!$B$10))</f>
        <v>1000</v>
      </c>
      <c r="O5" s="21" t="n">
        <f aca="false">IF(2039&lt;Assumptions!$B$4,0,IF(2039&lt;Assumptions!$B$5,Assumptions!$B$9,Assumptions!$B$10))</f>
        <v>1000</v>
      </c>
      <c r="P5" s="21" t="n">
        <f aca="false">IF(2040&lt;Assumptions!$B$4,0,IF(2040&lt;Assumptions!$B$5,Assumptions!$B$9,Assumptions!$B$10))</f>
        <v>1000</v>
      </c>
      <c r="Q5" s="21" t="n">
        <f aca="false">IF(2041&lt;Assumptions!$B$4,0,IF(2041&lt;Assumptions!$B$5,Assumptions!$B$9,Assumptions!$B$10))</f>
        <v>1000</v>
      </c>
      <c r="R5" s="21" t="n">
        <f aca="false">IF(2042&lt;Assumptions!$B$4,0,IF(2042&lt;Assumptions!$B$5,Assumptions!$B$9,Assumptions!$B$10))</f>
        <v>1000</v>
      </c>
      <c r="S5" s="21" t="n">
        <f aca="false">IF(2043&lt;Assumptions!$B$4,0,IF(2043&lt;Assumptions!$B$5,Assumptions!$B$9,Assumptions!$B$10))</f>
        <v>1000</v>
      </c>
      <c r="T5" s="21" t="n">
        <f aca="false">IF(2044&lt;Assumptions!$B$4,0,IF(2044&lt;Assumptions!$B$5,Assumptions!$B$9,Assumptions!$B$10))</f>
        <v>1000</v>
      </c>
      <c r="U5" s="21" t="n">
        <f aca="false">IF(2045&lt;Assumptions!$B$4,0,IF(2045&lt;Assumptions!$B$5,Assumptions!$B$9,Assumptions!$B$10))</f>
        <v>1000</v>
      </c>
      <c r="V5" s="21" t="n">
        <f aca="false">IF(2046&lt;Assumptions!$B$4,0,IF(2046&lt;Assumptions!$B$5,Assumptions!$B$9,Assumptions!$B$10))</f>
        <v>1000</v>
      </c>
      <c r="W5" s="21" t="n">
        <f aca="false">IF(2047&lt;Assumptions!$B$4,0,IF(2047&lt;Assumptions!$B$5,Assumptions!$B$9,Assumptions!$B$10))</f>
        <v>1000</v>
      </c>
      <c r="X5" s="21" t="n">
        <f aca="false">IF(2048&lt;Assumptions!$B$4,0,IF(2048&lt;Assumptions!$B$5,Assumptions!$B$9,Assumptions!$B$10))</f>
        <v>1000</v>
      </c>
      <c r="Y5" s="21" t="n">
        <f aca="false">IF(2049&lt;Assumptions!$B$4,0,IF(2049&lt;Assumptions!$B$5,Assumptions!$B$9,Assumptions!$B$10))</f>
        <v>1000</v>
      </c>
      <c r="Z5" s="21" t="n">
        <f aca="false">IF(2050&lt;Assumptions!$B$4,0,IF(2050&lt;Assumptions!$B$5,Assumptions!$B$9,Assumptions!$B$10))</f>
        <v>1000</v>
      </c>
      <c r="AA5" s="21" t="n">
        <f aca="false">IF(2051&lt;Assumptions!$B$4,0,IF(2051&lt;Assumptions!$B$5,Assumptions!$B$9,Assumptions!$B$10))</f>
        <v>1000</v>
      </c>
      <c r="AB5" s="21" t="n">
        <f aca="false">IF(2052&lt;Assumptions!$B$4,0,IF(2052&lt;Assumptions!$B$5,Assumptions!$B$9,Assumptions!$B$10))</f>
        <v>1000</v>
      </c>
      <c r="AC5" s="21" t="n">
        <f aca="false">IF(2053&lt;Assumptions!$B$4,0,IF(2053&lt;Assumptions!$B$5,Assumptions!$B$9,Assumptions!$B$10))</f>
        <v>1000</v>
      </c>
      <c r="AD5" s="21" t="n">
        <f aca="false">IF(2054&lt;Assumptions!$B$4,0,IF(2054&lt;Assumptions!$B$5,Assumptions!$B$9,Assumptions!$B$10))</f>
        <v>1000</v>
      </c>
      <c r="AE5" s="21" t="n">
        <f aca="false">IF(2055&lt;Assumptions!$B$4,0,IF(2055&lt;Assumptions!$B$5,Assumptions!$B$9,Assumptions!$B$10))</f>
        <v>1000</v>
      </c>
      <c r="AF5" s="21" t="n">
        <f aca="false">IF(2056&lt;Assumptions!$B$4,0,IF(2056&lt;Assumptions!$B$5,Assumptions!$B$9,Assumptions!$B$10))</f>
        <v>1000</v>
      </c>
    </row>
    <row r="6" customFormat="false" ht="15" hidden="false" customHeight="false" outlineLevel="0" collapsed="false">
      <c r="A6" s="4" t="s">
        <v>123</v>
      </c>
      <c r="B6" s="8"/>
      <c r="C6" s="22" t="n">
        <f aca="false">IF(C5=0,0,MIN(Assumptions!$B$13,Assumptions!$B$11+(C4-1)*Assumptions!$B$12))</f>
        <v>0</v>
      </c>
      <c r="D6" s="22" t="n">
        <f aca="false">IF(D5=0,0,MIN(Assumptions!$B$13,Assumptions!$B$11+(D4-1)*Assumptions!$B$12))</f>
        <v>0</v>
      </c>
      <c r="E6" s="22" t="n">
        <f aca="false">IF(E5=0,0,MIN(Assumptions!$B$13,Assumptions!$B$11+(E4-1)*Assumptions!$B$12))</f>
        <v>0</v>
      </c>
      <c r="F6" s="22" t="n">
        <f aca="false">IF(F5=0,0,MIN(Assumptions!$B$13,Assumptions!$B$11+(F4-1)*Assumptions!$B$12))</f>
        <v>0</v>
      </c>
      <c r="G6" s="22" t="n">
        <f aca="false">IF(G5=0,0,MIN(Assumptions!$B$13,Assumptions!$B$11+(G4-1)*Assumptions!$B$12))</f>
        <v>0.4</v>
      </c>
      <c r="H6" s="22" t="n">
        <f aca="false">IF(H5=0,0,MIN(Assumptions!$B$13,Assumptions!$B$11+(H4-1)*Assumptions!$B$12))</f>
        <v>0.47</v>
      </c>
      <c r="I6" s="22" t="n">
        <f aca="false">IF(I5=0,0,MIN(Assumptions!$B$13,Assumptions!$B$11+(I4-1)*Assumptions!$B$12))</f>
        <v>0.54</v>
      </c>
      <c r="J6" s="22" t="n">
        <f aca="false">IF(J5=0,0,MIN(Assumptions!$B$13,Assumptions!$B$11+(J4-1)*Assumptions!$B$12))</f>
        <v>0.61</v>
      </c>
      <c r="K6" s="22" t="n">
        <f aca="false">IF(K5=0,0,MIN(Assumptions!$B$13,Assumptions!$B$11+(K4-1)*Assumptions!$B$12))</f>
        <v>0.68</v>
      </c>
      <c r="L6" s="22" t="n">
        <f aca="false">IF(L5=0,0,MIN(Assumptions!$B$13,Assumptions!$B$11+(L4-1)*Assumptions!$B$12))</f>
        <v>0.75</v>
      </c>
      <c r="M6" s="22" t="n">
        <f aca="false">IF(M5=0,0,MIN(Assumptions!$B$13,Assumptions!$B$11+(M4-1)*Assumptions!$B$12))</f>
        <v>0.8</v>
      </c>
      <c r="N6" s="22" t="n">
        <f aca="false">IF(N5=0,0,MIN(Assumptions!$B$13,Assumptions!$B$11+(N4-1)*Assumptions!$B$12))</f>
        <v>0.8</v>
      </c>
      <c r="O6" s="22" t="n">
        <f aca="false">IF(O5=0,0,MIN(Assumptions!$B$13,Assumptions!$B$11+(O4-1)*Assumptions!$B$12))</f>
        <v>0.8</v>
      </c>
      <c r="P6" s="22" t="n">
        <f aca="false">IF(P5=0,0,MIN(Assumptions!$B$13,Assumptions!$B$11+(P4-1)*Assumptions!$B$12))</f>
        <v>0.8</v>
      </c>
      <c r="Q6" s="22" t="n">
        <f aca="false">IF(Q5=0,0,MIN(Assumptions!$B$13,Assumptions!$B$11+(Q4-1)*Assumptions!$B$12))</f>
        <v>0.8</v>
      </c>
      <c r="R6" s="22" t="n">
        <f aca="false">IF(R5=0,0,MIN(Assumptions!$B$13,Assumptions!$B$11+(R4-1)*Assumptions!$B$12))</f>
        <v>0.8</v>
      </c>
      <c r="S6" s="22" t="n">
        <f aca="false">IF(S5=0,0,MIN(Assumptions!$B$13,Assumptions!$B$11+(S4-1)*Assumptions!$B$12))</f>
        <v>0.8</v>
      </c>
      <c r="T6" s="22" t="n">
        <f aca="false">IF(T5=0,0,MIN(Assumptions!$B$13,Assumptions!$B$11+(T4-1)*Assumptions!$B$12))</f>
        <v>0.8</v>
      </c>
      <c r="U6" s="22" t="n">
        <f aca="false">IF(U5=0,0,MIN(Assumptions!$B$13,Assumptions!$B$11+(U4-1)*Assumptions!$B$12))</f>
        <v>0.8</v>
      </c>
      <c r="V6" s="22" t="n">
        <f aca="false">IF(V5=0,0,MIN(Assumptions!$B$13,Assumptions!$B$11+(V4-1)*Assumptions!$B$12))</f>
        <v>0.8</v>
      </c>
      <c r="W6" s="22" t="n">
        <f aca="false">IF(W5=0,0,MIN(Assumptions!$B$13,Assumptions!$B$11+(W4-1)*Assumptions!$B$12))</f>
        <v>0.8</v>
      </c>
      <c r="X6" s="22" t="n">
        <f aca="false">IF(X5=0,0,MIN(Assumptions!$B$13,Assumptions!$B$11+(X4-1)*Assumptions!$B$12))</f>
        <v>0.8</v>
      </c>
      <c r="Y6" s="22" t="n">
        <f aca="false">IF(Y5=0,0,MIN(Assumptions!$B$13,Assumptions!$B$11+(Y4-1)*Assumptions!$B$12))</f>
        <v>0.8</v>
      </c>
      <c r="Z6" s="22" t="n">
        <f aca="false">IF(Z5=0,0,MIN(Assumptions!$B$13,Assumptions!$B$11+(Z4-1)*Assumptions!$B$12))</f>
        <v>0.8</v>
      </c>
      <c r="AA6" s="22" t="n">
        <f aca="false">IF(AA5=0,0,MIN(Assumptions!$B$13,Assumptions!$B$11+(AA4-1)*Assumptions!$B$12))</f>
        <v>0.8</v>
      </c>
      <c r="AB6" s="22" t="n">
        <f aca="false">IF(AB5=0,0,MIN(Assumptions!$B$13,Assumptions!$B$11+(AB4-1)*Assumptions!$B$12))</f>
        <v>0.8</v>
      </c>
      <c r="AC6" s="22" t="n">
        <f aca="false">IF(AC5=0,0,MIN(Assumptions!$B$13,Assumptions!$B$11+(AC4-1)*Assumptions!$B$12))</f>
        <v>0.8</v>
      </c>
      <c r="AD6" s="22" t="n">
        <f aca="false">IF(AD5=0,0,MIN(Assumptions!$B$13,Assumptions!$B$11+(AD4-1)*Assumptions!$B$12))</f>
        <v>0.8</v>
      </c>
      <c r="AE6" s="22" t="n">
        <f aca="false">IF(AE5=0,0,MIN(Assumptions!$B$13,Assumptions!$B$11+(AE4-1)*Assumptions!$B$12))</f>
        <v>0.8</v>
      </c>
      <c r="AF6" s="22" t="n">
        <f aca="false">IF(AF5=0,0,MIN(Assumptions!$B$13,Assumptions!$B$11+(AF4-1)*Assumptions!$B$12))</f>
        <v>0.8</v>
      </c>
    </row>
    <row r="7" customFormat="false" ht="15" hidden="false" customHeight="false" outlineLevel="0" collapsed="false">
      <c r="A7" s="4" t="s">
        <v>124</v>
      </c>
      <c r="B7" s="8"/>
      <c r="C7" s="21" t="n">
        <f aca="false">C5*365*C6/1000</f>
        <v>0</v>
      </c>
      <c r="D7" s="21" t="n">
        <f aca="false">D5*365*D6/1000</f>
        <v>0</v>
      </c>
      <c r="E7" s="21" t="n">
        <f aca="false">E5*365*E6/1000</f>
        <v>0</v>
      </c>
      <c r="F7" s="21" t="n">
        <f aca="false">F5*365*F6/1000</f>
        <v>0</v>
      </c>
      <c r="G7" s="21" t="n">
        <f aca="false">G5*365*G6/1000</f>
        <v>58.4</v>
      </c>
      <c r="H7" s="21" t="n">
        <f aca="false">H5*365*H6/1000</f>
        <v>68.62</v>
      </c>
      <c r="I7" s="21" t="n">
        <f aca="false">I5*365*I6/1000</f>
        <v>78.84</v>
      </c>
      <c r="J7" s="21" t="n">
        <f aca="false">J5*365*J6/1000</f>
        <v>89.06</v>
      </c>
      <c r="K7" s="21" t="n">
        <f aca="false">K5*365*K6/1000</f>
        <v>99.28</v>
      </c>
      <c r="L7" s="21" t="n">
        <f aca="false">L5*365*L6/1000</f>
        <v>273.75</v>
      </c>
      <c r="M7" s="21" t="n">
        <f aca="false">M5*365*M6/1000</f>
        <v>292</v>
      </c>
      <c r="N7" s="21" t="n">
        <f aca="false">N5*365*N6/1000</f>
        <v>292</v>
      </c>
      <c r="O7" s="21" t="n">
        <f aca="false">O5*365*O6/1000</f>
        <v>292</v>
      </c>
      <c r="P7" s="21" t="n">
        <f aca="false">P5*365*P6/1000</f>
        <v>292</v>
      </c>
      <c r="Q7" s="21" t="n">
        <f aca="false">Q5*365*Q6/1000</f>
        <v>292</v>
      </c>
      <c r="R7" s="21" t="n">
        <f aca="false">R5*365*R6/1000</f>
        <v>292</v>
      </c>
      <c r="S7" s="21" t="n">
        <f aca="false">S5*365*S6/1000</f>
        <v>292</v>
      </c>
      <c r="T7" s="21" t="n">
        <f aca="false">T5*365*T6/1000</f>
        <v>292</v>
      </c>
      <c r="U7" s="21" t="n">
        <f aca="false">U5*365*U6/1000</f>
        <v>292</v>
      </c>
      <c r="V7" s="21" t="n">
        <f aca="false">V5*365*V6/1000</f>
        <v>292</v>
      </c>
      <c r="W7" s="21" t="n">
        <f aca="false">W5*365*W6/1000</f>
        <v>292</v>
      </c>
      <c r="X7" s="21" t="n">
        <f aca="false">X5*365*X6/1000</f>
        <v>292</v>
      </c>
      <c r="Y7" s="21" t="n">
        <f aca="false">Y5*365*Y6/1000</f>
        <v>292</v>
      </c>
      <c r="Z7" s="21" t="n">
        <f aca="false">Z5*365*Z6/1000</f>
        <v>292</v>
      </c>
      <c r="AA7" s="21" t="n">
        <f aca="false">AA5*365*AA6/1000</f>
        <v>292</v>
      </c>
      <c r="AB7" s="21" t="n">
        <f aca="false">AB5*365*AB6/1000</f>
        <v>292</v>
      </c>
      <c r="AC7" s="21" t="n">
        <f aca="false">AC5*365*AC6/1000</f>
        <v>292</v>
      </c>
      <c r="AD7" s="21" t="n">
        <f aca="false">AD5*365*AD6/1000</f>
        <v>292</v>
      </c>
      <c r="AE7" s="21" t="n">
        <f aca="false">AE5*365*AE6/1000</f>
        <v>292</v>
      </c>
      <c r="AF7" s="21" t="n">
        <f aca="false">AF5*365*AF6/1000</f>
        <v>292</v>
      </c>
    </row>
    <row r="8" customFormat="false" ht="15" hidden="false" customHeight="false" outlineLevel="0" collapsed="false">
      <c r="A8" s="4" t="s">
        <v>125</v>
      </c>
      <c r="B8" s="8" t="s">
        <v>126</v>
      </c>
      <c r="C8" s="21" t="n">
        <f aca="false">IF(C4=0,0,Assumptions!$B$14*(1+Assumptions!$B$19)^(C4-1))</f>
        <v>0</v>
      </c>
      <c r="D8" s="21" t="n">
        <f aca="false">IF(D4=0,0,Assumptions!$B$14*(1+Assumptions!$B$19)^(D4-1))</f>
        <v>0</v>
      </c>
      <c r="E8" s="21" t="n">
        <f aca="false">IF(E4=0,0,Assumptions!$B$14*(1+Assumptions!$B$19)^(E4-1))</f>
        <v>0</v>
      </c>
      <c r="F8" s="21" t="n">
        <f aca="false">IF(F4=0,0,Assumptions!$B$14*(1+Assumptions!$B$19)^(F4-1))</f>
        <v>0</v>
      </c>
      <c r="G8" s="21" t="n">
        <f aca="false">IF(G4=0,0,Assumptions!$B$14*(1+Assumptions!$B$19)^(G4-1))</f>
        <v>750</v>
      </c>
      <c r="H8" s="21" t="n">
        <f aca="false">IF(H4=0,0,Assumptions!$B$14*(1+Assumptions!$B$19)^(H4-1))</f>
        <v>776.25</v>
      </c>
      <c r="I8" s="21" t="n">
        <f aca="false">IF(I4=0,0,Assumptions!$B$14*(1+Assumptions!$B$19)^(I4-1))</f>
        <v>803.41875</v>
      </c>
      <c r="J8" s="21" t="n">
        <f aca="false">IF(J4=0,0,Assumptions!$B$14*(1+Assumptions!$B$19)^(J4-1))</f>
        <v>831.53840625</v>
      </c>
      <c r="K8" s="21" t="n">
        <f aca="false">IF(K4=0,0,Assumptions!$B$14*(1+Assumptions!$B$19)^(K4-1))</f>
        <v>860.64225046875</v>
      </c>
      <c r="L8" s="21" t="n">
        <f aca="false">IF(L4=0,0,Assumptions!$B$14*(1+Assumptions!$B$19)^(L4-1))</f>
        <v>890.764729235156</v>
      </c>
      <c r="M8" s="21" t="n">
        <f aca="false">IF(M4=0,0,Assumptions!$B$14*(1+Assumptions!$B$19)^(M4-1))</f>
        <v>921.941494758386</v>
      </c>
      <c r="N8" s="21" t="n">
        <f aca="false">IF(N4=0,0,Assumptions!$B$14*(1+Assumptions!$B$19)^(N4-1))</f>
        <v>954.20944707493</v>
      </c>
      <c r="O8" s="21" t="n">
        <f aca="false">IF(O4=0,0,Assumptions!$B$14*(1+Assumptions!$B$19)^(O4-1))</f>
        <v>987.606777722552</v>
      </c>
      <c r="P8" s="21" t="n">
        <f aca="false">IF(P4=0,0,Assumptions!$B$14*(1+Assumptions!$B$19)^(P4-1))</f>
        <v>1022.17301494284</v>
      </c>
      <c r="Q8" s="21" t="n">
        <f aca="false">IF(Q4=0,0,Assumptions!$B$14*(1+Assumptions!$B$19)^(Q4-1))</f>
        <v>1057.94907046584</v>
      </c>
      <c r="R8" s="21" t="n">
        <f aca="false">IF(R4=0,0,Assumptions!$B$14*(1+Assumptions!$B$19)^(R4-1))</f>
        <v>1094.97728793215</v>
      </c>
      <c r="S8" s="21" t="n">
        <f aca="false">IF(S4=0,0,Assumptions!$B$14*(1+Assumptions!$B$19)^(S4-1))</f>
        <v>1133.30149300977</v>
      </c>
      <c r="T8" s="21" t="n">
        <f aca="false">IF(T4=0,0,Assumptions!$B$14*(1+Assumptions!$B$19)^(T4-1))</f>
        <v>1172.96704526511</v>
      </c>
      <c r="U8" s="21" t="n">
        <f aca="false">IF(U4=0,0,Assumptions!$B$14*(1+Assumptions!$B$19)^(U4-1))</f>
        <v>1214.02089184939</v>
      </c>
      <c r="V8" s="21" t="n">
        <f aca="false">IF(V4=0,0,Assumptions!$B$14*(1+Assumptions!$B$19)^(V4-1))</f>
        <v>1256.51162306412</v>
      </c>
      <c r="W8" s="21" t="n">
        <f aca="false">IF(W4=0,0,Assumptions!$B$14*(1+Assumptions!$B$19)^(W4-1))</f>
        <v>1300.48952987136</v>
      </c>
      <c r="X8" s="21" t="n">
        <f aca="false">IF(X4=0,0,Assumptions!$B$14*(1+Assumptions!$B$19)^(X4-1))</f>
        <v>1346.00666341686</v>
      </c>
      <c r="Y8" s="21" t="n">
        <f aca="false">IF(Y4=0,0,Assumptions!$B$14*(1+Assumptions!$B$19)^(Y4-1))</f>
        <v>1393.11689663645</v>
      </c>
      <c r="Z8" s="21" t="n">
        <f aca="false">IF(Z4=0,0,Assumptions!$B$14*(1+Assumptions!$B$19)^(Z4-1))</f>
        <v>1441.87598801873</v>
      </c>
      <c r="AA8" s="21" t="n">
        <f aca="false">IF(AA4=0,0,Assumptions!$B$14*(1+Assumptions!$B$19)^(AA4-1))</f>
        <v>1492.34164759938</v>
      </c>
      <c r="AB8" s="21" t="n">
        <f aca="false">IF(AB4=0,0,Assumptions!$B$14*(1+Assumptions!$B$19)^(AB4-1))</f>
        <v>1544.57360526536</v>
      </c>
      <c r="AC8" s="21" t="n">
        <f aca="false">IF(AC4=0,0,Assumptions!$B$14*(1+Assumptions!$B$19)^(AC4-1))</f>
        <v>1598.63368144965</v>
      </c>
      <c r="AD8" s="21" t="n">
        <f aca="false">IF(AD4=0,0,Assumptions!$B$14*(1+Assumptions!$B$19)^(AD4-1))</f>
        <v>1654.58586030039</v>
      </c>
      <c r="AE8" s="21" t="n">
        <f aca="false">IF(AE4=0,0,Assumptions!$B$14*(1+Assumptions!$B$19)^(AE4-1))</f>
        <v>1712.4963654109</v>
      </c>
      <c r="AF8" s="21" t="n">
        <f aca="false">IF(AF4=0,0,Assumptions!$B$14*(1+Assumptions!$B$19)^(AF4-1))</f>
        <v>1772.43373820028</v>
      </c>
    </row>
    <row r="9" customFormat="false" ht="15" hidden="false" customHeight="false" outlineLevel="0" collapsed="false">
      <c r="A9" s="5" t="s">
        <v>127</v>
      </c>
      <c r="B9" s="8"/>
      <c r="C9" s="20" t="n">
        <f aca="false">C7*1000*C8/1000000</f>
        <v>0</v>
      </c>
      <c r="D9" s="20" t="n">
        <f aca="false">D7*1000*D8/1000000</f>
        <v>0</v>
      </c>
      <c r="E9" s="20" t="n">
        <f aca="false">E7*1000*E8/1000000</f>
        <v>0</v>
      </c>
      <c r="F9" s="20" t="n">
        <f aca="false">F7*1000*F8/1000000</f>
        <v>0</v>
      </c>
      <c r="G9" s="20" t="n">
        <f aca="false">G7*1000*G8/1000000</f>
        <v>43.8</v>
      </c>
      <c r="H9" s="20" t="n">
        <f aca="false">H7*1000*H8/1000000</f>
        <v>53.266275</v>
      </c>
      <c r="I9" s="20" t="n">
        <f aca="false">I7*1000*I8/1000000</f>
        <v>63.34153425</v>
      </c>
      <c r="J9" s="20" t="n">
        <f aca="false">J7*1000*J8/1000000</f>
        <v>74.056810460625</v>
      </c>
      <c r="K9" s="20" t="n">
        <f aca="false">K7*1000*K8/1000000</f>
        <v>85.4445626265375</v>
      </c>
      <c r="L9" s="20" t="n">
        <f aca="false">L7*1000*L8/1000000</f>
        <v>243.846844628124</v>
      </c>
      <c r="M9" s="20" t="n">
        <f aca="false">M7*1000*M8/1000000</f>
        <v>269.206916469449</v>
      </c>
      <c r="N9" s="20" t="n">
        <f aca="false">N7*1000*N8/1000000</f>
        <v>278.62915854588</v>
      </c>
      <c r="O9" s="20" t="n">
        <f aca="false">O7*1000*O8/1000000</f>
        <v>288.381179094985</v>
      </c>
      <c r="P9" s="20" t="n">
        <f aca="false">P7*1000*P8/1000000</f>
        <v>298.47452036331</v>
      </c>
      <c r="Q9" s="20" t="n">
        <f aca="false">Q7*1000*Q8/1000000</f>
        <v>308.921128576025</v>
      </c>
      <c r="R9" s="20" t="n">
        <f aca="false">R7*1000*R8/1000000</f>
        <v>319.733368076186</v>
      </c>
      <c r="S9" s="20" t="n">
        <f aca="false">S7*1000*S8/1000000</f>
        <v>330.924035958853</v>
      </c>
      <c r="T9" s="20" t="n">
        <f aca="false">T7*1000*T8/1000000</f>
        <v>342.506377217413</v>
      </c>
      <c r="U9" s="20" t="n">
        <f aca="false">U7*1000*U8/1000000</f>
        <v>354.494100420022</v>
      </c>
      <c r="V9" s="20" t="n">
        <f aca="false">V7*1000*V8/1000000</f>
        <v>366.901393934723</v>
      </c>
      <c r="W9" s="20" t="n">
        <f aca="false">W7*1000*W8/1000000</f>
        <v>379.742942722438</v>
      </c>
      <c r="X9" s="20" t="n">
        <f aca="false">X7*1000*X8/1000000</f>
        <v>393.033945717723</v>
      </c>
      <c r="Y9" s="20" t="n">
        <f aca="false">Y7*1000*Y8/1000000</f>
        <v>406.790133817844</v>
      </c>
      <c r="Z9" s="20" t="n">
        <f aca="false">Z7*1000*Z8/1000000</f>
        <v>421.027788501468</v>
      </c>
      <c r="AA9" s="20" t="n">
        <f aca="false">AA7*1000*AA8/1000000</f>
        <v>435.76376109902</v>
      </c>
      <c r="AB9" s="20" t="n">
        <f aca="false">AB7*1000*AB8/1000000</f>
        <v>451.015492737485</v>
      </c>
      <c r="AC9" s="20" t="n">
        <f aca="false">AC7*1000*AC8/1000000</f>
        <v>466.801034983297</v>
      </c>
      <c r="AD9" s="20" t="n">
        <f aca="false">AD7*1000*AD8/1000000</f>
        <v>483.139071207713</v>
      </c>
      <c r="AE9" s="20" t="n">
        <f aca="false">AE7*1000*AE8/1000000</f>
        <v>500.048938699983</v>
      </c>
      <c r="AF9" s="20" t="n">
        <f aca="false">AF7*1000*AF8/1000000</f>
        <v>517.550651554482</v>
      </c>
    </row>
    <row r="10" customFormat="false" ht="15" hidden="false" customHeight="false" outlineLevel="0" collapsed="false">
      <c r="A10" s="4" t="s">
        <v>128</v>
      </c>
      <c r="B10" s="8"/>
      <c r="C10" s="21" t="n">
        <f aca="false">IF(C4=0,0,MIN(Assumptions!$B$17,Assumptions!$B$15*(1+Assumptions!$B$16)^(C4-1))/1000)</f>
        <v>0</v>
      </c>
      <c r="D10" s="21" t="n">
        <f aca="false">IF(D4=0,0,MIN(Assumptions!$B$17,Assumptions!$B$15*(1+Assumptions!$B$16)^(D4-1))/1000)</f>
        <v>0</v>
      </c>
      <c r="E10" s="21" t="n">
        <f aca="false">IF(E4=0,0,MIN(Assumptions!$B$17,Assumptions!$B$15*(1+Assumptions!$B$16)^(E4-1))/1000)</f>
        <v>0</v>
      </c>
      <c r="F10" s="21" t="n">
        <f aca="false">IF(F4=0,0,MIN(Assumptions!$B$17,Assumptions!$B$15*(1+Assumptions!$B$16)^(F4-1))/1000)</f>
        <v>0</v>
      </c>
      <c r="G10" s="21" t="n">
        <f aca="false">IF(G4=0,0,MIN(Assumptions!$B$17,Assumptions!$B$15*(1+Assumptions!$B$16)^(G4-1))/1000)</f>
        <v>150</v>
      </c>
      <c r="H10" s="21" t="n">
        <f aca="false">IF(H4=0,0,MIN(Assumptions!$B$17,Assumptions!$B$15*(1+Assumptions!$B$16)^(H4-1))/1000)</f>
        <v>172.5</v>
      </c>
      <c r="I10" s="21" t="n">
        <f aca="false">IF(I4=0,0,MIN(Assumptions!$B$17,Assumptions!$B$15*(1+Assumptions!$B$16)^(I4-1))/1000)</f>
        <v>198.375</v>
      </c>
      <c r="J10" s="21" t="n">
        <f aca="false">IF(J4=0,0,MIN(Assumptions!$B$17,Assumptions!$B$15*(1+Assumptions!$B$16)^(J4-1))/1000)</f>
        <v>228.13125</v>
      </c>
      <c r="K10" s="21" t="n">
        <f aca="false">IF(K4=0,0,MIN(Assumptions!$B$17,Assumptions!$B$15*(1+Assumptions!$B$16)^(K4-1))/1000)</f>
        <v>262.3509375</v>
      </c>
      <c r="L10" s="21" t="n">
        <f aca="false">IF(L4=0,0,MIN(Assumptions!$B$17,Assumptions!$B$15*(1+Assumptions!$B$16)^(L4-1))/1000)</f>
        <v>301.703578125</v>
      </c>
      <c r="M10" s="21" t="n">
        <f aca="false">IF(M4=0,0,MIN(Assumptions!$B$17,Assumptions!$B$15*(1+Assumptions!$B$16)^(M4-1))/1000)</f>
        <v>346.95911484375</v>
      </c>
      <c r="N10" s="21" t="n">
        <f aca="false">IF(N4=0,0,MIN(Assumptions!$B$17,Assumptions!$B$15*(1+Assumptions!$B$16)^(N4-1))/1000)</f>
        <v>399.002982070312</v>
      </c>
      <c r="O10" s="21" t="n">
        <f aca="false">IF(O4=0,0,MIN(Assumptions!$B$17,Assumptions!$B$15*(1+Assumptions!$B$16)^(O4-1))/1000)</f>
        <v>458.853429380859</v>
      </c>
      <c r="P10" s="21" t="n">
        <f aca="false">IF(P4=0,0,MIN(Assumptions!$B$17,Assumptions!$B$15*(1+Assumptions!$B$16)^(P4-1))/1000)</f>
        <v>527.681443787988</v>
      </c>
      <c r="Q10" s="21" t="n">
        <f aca="false">IF(Q4=0,0,MIN(Assumptions!$B$17,Assumptions!$B$15*(1+Assumptions!$B$16)^(Q4-1))/1000)</f>
        <v>606.833660356186</v>
      </c>
      <c r="R10" s="21" t="n">
        <f aca="false">IF(R4=0,0,MIN(Assumptions!$B$17,Assumptions!$B$15*(1+Assumptions!$B$16)^(R4-1))/1000)</f>
        <v>650</v>
      </c>
      <c r="S10" s="21" t="n">
        <f aca="false">IF(S4=0,0,MIN(Assumptions!$B$17,Assumptions!$B$15*(1+Assumptions!$B$16)^(S4-1))/1000)</f>
        <v>650</v>
      </c>
      <c r="T10" s="21" t="n">
        <f aca="false">IF(T4=0,0,MIN(Assumptions!$B$17,Assumptions!$B$15*(1+Assumptions!$B$16)^(T4-1))/1000)</f>
        <v>650</v>
      </c>
      <c r="U10" s="21" t="n">
        <f aca="false">IF(U4=0,0,MIN(Assumptions!$B$17,Assumptions!$B$15*(1+Assumptions!$B$16)^(U4-1))/1000)</f>
        <v>650</v>
      </c>
      <c r="V10" s="21" t="n">
        <f aca="false">IF(V4=0,0,MIN(Assumptions!$B$17,Assumptions!$B$15*(1+Assumptions!$B$16)^(V4-1))/1000)</f>
        <v>650</v>
      </c>
      <c r="W10" s="21" t="n">
        <f aca="false">IF(W4=0,0,MIN(Assumptions!$B$17,Assumptions!$B$15*(1+Assumptions!$B$16)^(W4-1))/1000)</f>
        <v>650</v>
      </c>
      <c r="X10" s="21" t="n">
        <f aca="false">IF(X4=0,0,MIN(Assumptions!$B$17,Assumptions!$B$15*(1+Assumptions!$B$16)^(X4-1))/1000)</f>
        <v>650</v>
      </c>
      <c r="Y10" s="21" t="n">
        <f aca="false">IF(Y4=0,0,MIN(Assumptions!$B$17,Assumptions!$B$15*(1+Assumptions!$B$16)^(Y4-1))/1000)</f>
        <v>650</v>
      </c>
      <c r="Z10" s="21" t="n">
        <f aca="false">IF(Z4=0,0,MIN(Assumptions!$B$17,Assumptions!$B$15*(1+Assumptions!$B$16)^(Z4-1))/1000)</f>
        <v>650</v>
      </c>
      <c r="AA10" s="21" t="n">
        <f aca="false">IF(AA4=0,0,MIN(Assumptions!$B$17,Assumptions!$B$15*(1+Assumptions!$B$16)^(AA4-1))/1000)</f>
        <v>650</v>
      </c>
      <c r="AB10" s="21" t="n">
        <f aca="false">IF(AB4=0,0,MIN(Assumptions!$B$17,Assumptions!$B$15*(1+Assumptions!$B$16)^(AB4-1))/1000)</f>
        <v>650</v>
      </c>
      <c r="AC10" s="21" t="n">
        <f aca="false">IF(AC4=0,0,MIN(Assumptions!$B$17,Assumptions!$B$15*(1+Assumptions!$B$16)^(AC4-1))/1000)</f>
        <v>650</v>
      </c>
      <c r="AD10" s="21" t="n">
        <f aca="false">IF(AD4=0,0,MIN(Assumptions!$B$17,Assumptions!$B$15*(1+Assumptions!$B$16)^(AD4-1))/1000)</f>
        <v>650</v>
      </c>
      <c r="AE10" s="21" t="n">
        <f aca="false">IF(AE4=0,0,MIN(Assumptions!$B$17,Assumptions!$B$15*(1+Assumptions!$B$16)^(AE4-1))/1000)</f>
        <v>650</v>
      </c>
      <c r="AF10" s="21" t="n">
        <f aca="false">IF(AF4=0,0,MIN(Assumptions!$B$17,Assumptions!$B$15*(1+Assumptions!$B$16)^(AF4-1))/1000)</f>
        <v>650</v>
      </c>
    </row>
    <row r="11" customFormat="false" ht="15" hidden="false" customHeight="false" outlineLevel="0" collapsed="false">
      <c r="A11" s="5" t="s">
        <v>129</v>
      </c>
      <c r="B11" s="8"/>
      <c r="C11" s="20" t="n">
        <f aca="false">C10*1000*Assumptions!$B$18*IF(C4=0,0,(1+Assumptions!$B$19)^(C4-1))/1000000</f>
        <v>0</v>
      </c>
      <c r="D11" s="20" t="n">
        <f aca="false">D10*1000*Assumptions!$B$18*IF(D4=0,0,(1+Assumptions!$B$19)^(D4-1))/1000000</f>
        <v>0</v>
      </c>
      <c r="E11" s="20" t="n">
        <f aca="false">E10*1000*Assumptions!$B$18*IF(E4=0,0,(1+Assumptions!$B$19)^(E4-1))/1000000</f>
        <v>0</v>
      </c>
      <c r="F11" s="20" t="n">
        <f aca="false">F10*1000*Assumptions!$B$18*IF(F4=0,0,(1+Assumptions!$B$19)^(F4-1))/1000000</f>
        <v>0</v>
      </c>
      <c r="G11" s="20" t="n">
        <f aca="false">G10*1000*Assumptions!$B$18*IF(G4=0,0,(1+Assumptions!$B$19)^(G4-1))/1000000</f>
        <v>18</v>
      </c>
      <c r="H11" s="20" t="n">
        <f aca="false">H10*1000*Assumptions!$B$18*IF(H4=0,0,(1+Assumptions!$B$19)^(H4-1))/1000000</f>
        <v>21.4245</v>
      </c>
      <c r="I11" s="20" t="n">
        <f aca="false">I10*1000*Assumptions!$B$18*IF(I4=0,0,(1+Assumptions!$B$19)^(I4-1))/1000000</f>
        <v>25.500511125</v>
      </c>
      <c r="J11" s="20" t="n">
        <f aca="false">J10*1000*Assumptions!$B$18*IF(J4=0,0,(1+Assumptions!$B$19)^(J4-1))/1000000</f>
        <v>30.3519833665312</v>
      </c>
      <c r="K11" s="20" t="n">
        <f aca="false">K10*1000*Assumptions!$B$18*IF(K4=0,0,(1+Assumptions!$B$19)^(K4-1))/1000000</f>
        <v>36.1264482020138</v>
      </c>
      <c r="L11" s="20" t="n">
        <f aca="false">L10*1000*Assumptions!$B$18*IF(L4=0,0,(1+Assumptions!$B$19)^(L4-1))/1000000</f>
        <v>42.9995049724469</v>
      </c>
      <c r="M11" s="20" t="n">
        <f aca="false">M10*1000*Assumptions!$B$18*IF(M4=0,0,(1+Assumptions!$B$19)^(M4-1))/1000000</f>
        <v>51.1801607934549</v>
      </c>
      <c r="N11" s="20" t="n">
        <f aca="false">N10*1000*Assumptions!$B$18*IF(N4=0,0,(1+Assumptions!$B$19)^(N4-1))/1000000</f>
        <v>60.9171863844097</v>
      </c>
      <c r="O11" s="20" t="n">
        <f aca="false">O10*1000*Assumptions!$B$18*IF(O4=0,0,(1+Assumptions!$B$19)^(O4-1))/1000000</f>
        <v>72.5066810940437</v>
      </c>
      <c r="P11" s="20" t="n">
        <f aca="false">P10*1000*Assumptions!$B$18*IF(P4=0,0,(1+Assumptions!$B$19)^(P4-1))/1000000</f>
        <v>86.3010771721855</v>
      </c>
      <c r="Q11" s="20" t="n">
        <f aca="false">Q10*1000*Assumptions!$B$18*IF(Q4=0,0,(1+Assumptions!$B$19)^(Q4-1))/1000000</f>
        <v>102.719857104194</v>
      </c>
      <c r="R11" s="20" t="n">
        <f aca="false">R10*1000*Assumptions!$B$18*IF(R4=0,0,(1+Assumptions!$B$19)^(R4-1))/1000000</f>
        <v>113.877637944943</v>
      </c>
      <c r="S11" s="20" t="n">
        <f aca="false">S10*1000*Assumptions!$B$18*IF(S4=0,0,(1+Assumptions!$B$19)^(S4-1))/1000000</f>
        <v>117.863355273016</v>
      </c>
      <c r="T11" s="20" t="n">
        <f aca="false">T10*1000*Assumptions!$B$18*IF(T4=0,0,(1+Assumptions!$B$19)^(T4-1))/1000000</f>
        <v>121.988572707572</v>
      </c>
      <c r="U11" s="20" t="n">
        <f aca="false">U10*1000*Assumptions!$B$18*IF(U4=0,0,(1+Assumptions!$B$19)^(U4-1))/1000000</f>
        <v>126.258172752337</v>
      </c>
      <c r="V11" s="20" t="n">
        <f aca="false">V10*1000*Assumptions!$B$18*IF(V4=0,0,(1+Assumptions!$B$19)^(V4-1))/1000000</f>
        <v>130.677208798668</v>
      </c>
      <c r="W11" s="20" t="n">
        <f aca="false">W10*1000*Assumptions!$B$18*IF(W4=0,0,(1+Assumptions!$B$19)^(W4-1))/1000000</f>
        <v>135.250911106622</v>
      </c>
      <c r="X11" s="20" t="n">
        <f aca="false">X10*1000*Assumptions!$B$18*IF(X4=0,0,(1+Assumptions!$B$19)^(X4-1))/1000000</f>
        <v>139.984692995354</v>
      </c>
      <c r="Y11" s="20" t="n">
        <f aca="false">Y10*1000*Assumptions!$B$18*IF(Y4=0,0,(1+Assumptions!$B$19)^(Y4-1))/1000000</f>
        <v>144.884157250191</v>
      </c>
      <c r="Z11" s="20" t="n">
        <f aca="false">Z10*1000*Assumptions!$B$18*IF(Z4=0,0,(1+Assumptions!$B$19)^(Z4-1))/1000000</f>
        <v>149.955102753948</v>
      </c>
      <c r="AA11" s="20" t="n">
        <f aca="false">AA10*1000*Assumptions!$B$18*IF(AA4=0,0,(1+Assumptions!$B$19)^(AA4-1))/1000000</f>
        <v>155.203531350336</v>
      </c>
      <c r="AB11" s="20" t="n">
        <f aca="false">AB10*1000*Assumptions!$B$18*IF(AB4=0,0,(1+Assumptions!$B$19)^(AB4-1))/1000000</f>
        <v>160.635654947598</v>
      </c>
      <c r="AC11" s="20" t="n">
        <f aca="false">AC10*1000*Assumptions!$B$18*IF(AC4=0,0,(1+Assumptions!$B$19)^(AC4-1))/1000000</f>
        <v>166.257902870763</v>
      </c>
      <c r="AD11" s="20" t="n">
        <f aca="false">AD10*1000*Assumptions!$B$18*IF(AD4=0,0,(1+Assumptions!$B$19)^(AD4-1))/1000000</f>
        <v>172.07692947124</v>
      </c>
      <c r="AE11" s="20" t="n">
        <f aca="false">AE10*1000*Assumptions!$B$18*IF(AE4=0,0,(1+Assumptions!$B$19)^(AE4-1))/1000000</f>
        <v>178.099622002734</v>
      </c>
      <c r="AF11" s="20" t="n">
        <f aca="false">AF10*1000*Assumptions!$B$18*IF(AF4=0,0,(1+Assumptions!$B$19)^(AF4-1))/1000000</f>
        <v>184.333108772829</v>
      </c>
    </row>
    <row r="12" customFormat="false" ht="15" hidden="false" customHeight="false" outlineLevel="0" collapsed="false">
      <c r="A12" s="17" t="s">
        <v>130</v>
      </c>
      <c r="B12" s="18"/>
      <c r="C12" s="19" t="n">
        <f aca="false">C9+C11</f>
        <v>0</v>
      </c>
      <c r="D12" s="19" t="n">
        <f aca="false">D9+D11</f>
        <v>0</v>
      </c>
      <c r="E12" s="19" t="n">
        <f aca="false">E9+E11</f>
        <v>0</v>
      </c>
      <c r="F12" s="19" t="n">
        <f aca="false">F9+F11</f>
        <v>0</v>
      </c>
      <c r="G12" s="19" t="n">
        <f aca="false">G9+G11</f>
        <v>61.8</v>
      </c>
      <c r="H12" s="19" t="n">
        <f aca="false">H9+H11</f>
        <v>74.690775</v>
      </c>
      <c r="I12" s="19" t="n">
        <f aca="false">I9+I11</f>
        <v>88.842045375</v>
      </c>
      <c r="J12" s="19" t="n">
        <f aca="false">J9+J11</f>
        <v>104.408793827156</v>
      </c>
      <c r="K12" s="19" t="n">
        <f aca="false">K9+K11</f>
        <v>121.571010828551</v>
      </c>
      <c r="L12" s="19" t="n">
        <f aca="false">L9+L11</f>
        <v>286.846349600571</v>
      </c>
      <c r="M12" s="19" t="n">
        <f aca="false">M9+M11</f>
        <v>320.387077262904</v>
      </c>
      <c r="N12" s="19" t="n">
        <f aca="false">N9+N11</f>
        <v>339.546344930289</v>
      </c>
      <c r="O12" s="19" t="n">
        <f aca="false">O9+O11</f>
        <v>360.887860189029</v>
      </c>
      <c r="P12" s="19" t="n">
        <f aca="false">P9+P11</f>
        <v>384.775597535495</v>
      </c>
      <c r="Q12" s="19" t="n">
        <f aca="false">Q9+Q11</f>
        <v>411.640985680219</v>
      </c>
      <c r="R12" s="19" t="n">
        <f aca="false">R9+R11</f>
        <v>433.611006021129</v>
      </c>
      <c r="S12" s="19" t="n">
        <f aca="false">S9+S11</f>
        <v>448.787391231869</v>
      </c>
      <c r="T12" s="19" t="n">
        <f aca="false">T9+T11</f>
        <v>464.494949924984</v>
      </c>
      <c r="U12" s="19" t="n">
        <f aca="false">U9+U11</f>
        <v>480.752273172359</v>
      </c>
      <c r="V12" s="19" t="n">
        <f aca="false">V9+V11</f>
        <v>497.578602733391</v>
      </c>
      <c r="W12" s="19" t="n">
        <f aca="false">W9+W11</f>
        <v>514.99385382906</v>
      </c>
      <c r="X12" s="19" t="n">
        <f aca="false">X9+X11</f>
        <v>533.018638713077</v>
      </c>
      <c r="Y12" s="19" t="n">
        <f aca="false">Y9+Y11</f>
        <v>551.674291068035</v>
      </c>
      <c r="Z12" s="19" t="n">
        <f aca="false">Z9+Z11</f>
        <v>570.982891255416</v>
      </c>
      <c r="AA12" s="19" t="n">
        <f aca="false">AA9+AA11</f>
        <v>590.967292449355</v>
      </c>
      <c r="AB12" s="19" t="n">
        <f aca="false">AB9+AB11</f>
        <v>611.651147685083</v>
      </c>
      <c r="AC12" s="19" t="n">
        <f aca="false">AC9+AC11</f>
        <v>633.058937854061</v>
      </c>
      <c r="AD12" s="19" t="n">
        <f aca="false">AD9+AD11</f>
        <v>655.216000678953</v>
      </c>
      <c r="AE12" s="19" t="n">
        <f aca="false">AE9+AE11</f>
        <v>678.148560702716</v>
      </c>
      <c r="AF12" s="19" t="n">
        <f aca="false">AF9+AF11</f>
        <v>701.883760327311</v>
      </c>
    </row>
    <row r="13" customFormat="false" ht="15" hidden="false" customHeight="false" outlineLevel="0" collapsed="false">
      <c r="A13" s="4" t="s">
        <v>131</v>
      </c>
      <c r="B13" s="8"/>
      <c r="C13" s="16" t="n">
        <f aca="false">IF(2027&lt;Assumptions!$B$5,0,Assumptions!$B$23*(1+Assumptions!$B$24)^(2027-Assumptions!$B$5))</f>
        <v>0</v>
      </c>
      <c r="D13" s="16" t="n">
        <f aca="false">IF(2028&lt;Assumptions!$B$5,0,Assumptions!$B$23*(1+Assumptions!$B$24)^(2028-Assumptions!$B$5))</f>
        <v>0</v>
      </c>
      <c r="E13" s="16" t="n">
        <f aca="false">IF(2029&lt;Assumptions!$B$5,0,Assumptions!$B$23*(1+Assumptions!$B$24)^(2029-Assumptions!$B$5))</f>
        <v>0</v>
      </c>
      <c r="F13" s="16" t="n">
        <f aca="false">IF(2030&lt;Assumptions!$B$5,0,Assumptions!$B$23*(1+Assumptions!$B$24)^(2030-Assumptions!$B$5))</f>
        <v>0</v>
      </c>
      <c r="G13" s="16" t="n">
        <f aca="false">IF(2031&lt;Assumptions!$B$5,0,Assumptions!$B$23*(1+Assumptions!$B$24)^(2031-Assumptions!$B$5))</f>
        <v>0</v>
      </c>
      <c r="H13" s="16" t="n">
        <f aca="false">IF(2032&lt;Assumptions!$B$5,0,Assumptions!$B$23*(1+Assumptions!$B$24)^(2032-Assumptions!$B$5))</f>
        <v>0</v>
      </c>
      <c r="I13" s="16" t="n">
        <f aca="false">IF(2033&lt;Assumptions!$B$5,0,Assumptions!$B$23*(1+Assumptions!$B$24)^(2033-Assumptions!$B$5))</f>
        <v>0</v>
      </c>
      <c r="J13" s="16" t="n">
        <f aca="false">IF(2034&lt;Assumptions!$B$5,0,Assumptions!$B$23*(1+Assumptions!$B$24)^(2034-Assumptions!$B$5))</f>
        <v>0</v>
      </c>
      <c r="K13" s="16" t="n">
        <f aca="false">IF(2035&lt;Assumptions!$B$5,0,Assumptions!$B$23*(1+Assumptions!$B$24)^(2035-Assumptions!$B$5))</f>
        <v>0</v>
      </c>
      <c r="L13" s="16" t="n">
        <f aca="false">IF(2036&lt;Assumptions!$B$5,0,Assumptions!$B$23*(1+Assumptions!$B$24)^(2036-Assumptions!$B$5))</f>
        <v>25</v>
      </c>
      <c r="M13" s="16" t="n">
        <f aca="false">IF(2037&lt;Assumptions!$B$5,0,Assumptions!$B$23*(1+Assumptions!$B$24)^(2037-Assumptions!$B$5))</f>
        <v>26.5</v>
      </c>
      <c r="N13" s="16" t="n">
        <f aca="false">IF(2038&lt;Assumptions!$B$5,0,Assumptions!$B$23*(1+Assumptions!$B$24)^(2038-Assumptions!$B$5))</f>
        <v>28.09</v>
      </c>
      <c r="O13" s="16" t="n">
        <f aca="false">IF(2039&lt;Assumptions!$B$5,0,Assumptions!$B$23*(1+Assumptions!$B$24)^(2039-Assumptions!$B$5))</f>
        <v>29.7754</v>
      </c>
      <c r="P13" s="16" t="n">
        <f aca="false">IF(2040&lt;Assumptions!$B$5,0,Assumptions!$B$23*(1+Assumptions!$B$24)^(2040-Assumptions!$B$5))</f>
        <v>31.561924</v>
      </c>
      <c r="Q13" s="16" t="n">
        <f aca="false">IF(2041&lt;Assumptions!$B$5,0,Assumptions!$B$23*(1+Assumptions!$B$24)^(2041-Assumptions!$B$5))</f>
        <v>33.45563944</v>
      </c>
      <c r="R13" s="16" t="n">
        <f aca="false">IF(2042&lt;Assumptions!$B$5,0,Assumptions!$B$23*(1+Assumptions!$B$24)^(2042-Assumptions!$B$5))</f>
        <v>35.4629778064</v>
      </c>
      <c r="S13" s="16" t="n">
        <f aca="false">IF(2043&lt;Assumptions!$B$5,0,Assumptions!$B$23*(1+Assumptions!$B$24)^(2043-Assumptions!$B$5))</f>
        <v>37.590756474784</v>
      </c>
      <c r="T13" s="16" t="n">
        <f aca="false">IF(2044&lt;Assumptions!$B$5,0,Assumptions!$B$23*(1+Assumptions!$B$24)^(2044-Assumptions!$B$5))</f>
        <v>39.8462018632711</v>
      </c>
      <c r="U13" s="16" t="n">
        <f aca="false">IF(2045&lt;Assumptions!$B$5,0,Assumptions!$B$23*(1+Assumptions!$B$24)^(2045-Assumptions!$B$5))</f>
        <v>42.2369739750673</v>
      </c>
      <c r="V13" s="16" t="n">
        <f aca="false">IF(2046&lt;Assumptions!$B$5,0,Assumptions!$B$23*(1+Assumptions!$B$24)^(2046-Assumptions!$B$5))</f>
        <v>44.7711924135714</v>
      </c>
      <c r="W13" s="16" t="n">
        <f aca="false">IF(2047&lt;Assumptions!$B$5,0,Assumptions!$B$23*(1+Assumptions!$B$24)^(2047-Assumptions!$B$5))</f>
        <v>47.4574639583856</v>
      </c>
      <c r="X13" s="16" t="n">
        <f aca="false">IF(2048&lt;Assumptions!$B$5,0,Assumptions!$B$23*(1+Assumptions!$B$24)^(2048-Assumptions!$B$5))</f>
        <v>50.3049117958888</v>
      </c>
      <c r="Y13" s="16" t="n">
        <f aca="false">IF(2049&lt;Assumptions!$B$5,0,Assumptions!$B$23*(1+Assumptions!$B$24)^(2049-Assumptions!$B$5))</f>
        <v>53.3232065036421</v>
      </c>
      <c r="Z13" s="16" t="n">
        <f aca="false">IF(2050&lt;Assumptions!$B$5,0,Assumptions!$B$23*(1+Assumptions!$B$24)^(2050-Assumptions!$B$5))</f>
        <v>56.5225988938607</v>
      </c>
      <c r="AA13" s="16" t="n">
        <f aca="false">IF(2051&lt;Assumptions!$B$5,0,Assumptions!$B$23*(1+Assumptions!$B$24)^(2051-Assumptions!$B$5))</f>
        <v>59.9139548274923</v>
      </c>
      <c r="AB13" s="16" t="n">
        <f aca="false">IF(2052&lt;Assumptions!$B$5,0,Assumptions!$B$23*(1+Assumptions!$B$24)^(2052-Assumptions!$B$5))</f>
        <v>63.5087921171418</v>
      </c>
      <c r="AC13" s="16" t="n">
        <f aca="false">IF(2053&lt;Assumptions!$B$5,0,Assumptions!$B$23*(1+Assumptions!$B$24)^(2053-Assumptions!$B$5))</f>
        <v>67.3193196441703</v>
      </c>
      <c r="AD13" s="16" t="n">
        <f aca="false">IF(2054&lt;Assumptions!$B$5,0,Assumptions!$B$23*(1+Assumptions!$B$24)^(2054-Assumptions!$B$5))</f>
        <v>71.3584788228206</v>
      </c>
      <c r="AE13" s="16" t="n">
        <f aca="false">IF(2055&lt;Assumptions!$B$5,0,Assumptions!$B$23*(1+Assumptions!$B$24)^(2055-Assumptions!$B$5))</f>
        <v>75.6399875521898</v>
      </c>
      <c r="AF13" s="16" t="n">
        <f aca="false">IF(2056&lt;Assumptions!$B$5,0,Assumptions!$B$23*(1+Assumptions!$B$24)^(2056-Assumptions!$B$5))</f>
        <v>80.1783868053212</v>
      </c>
    </row>
    <row r="14" customFormat="false" ht="15" hidden="false" customHeight="false" outlineLevel="0" collapsed="false">
      <c r="A14" s="4" t="s">
        <v>132</v>
      </c>
      <c r="B14" s="8"/>
      <c r="C14" s="16" t="n">
        <f aca="false">IF(2027&lt;(Assumptions!$B$4+3),0,Assumptions!$B$25*(1+Assumptions!$B$26)^(2027-(Assumptions!$B$4+3)))</f>
        <v>0</v>
      </c>
      <c r="D14" s="16" t="n">
        <f aca="false">IF(2028&lt;(Assumptions!$B$4+3),0,Assumptions!$B$25*(1+Assumptions!$B$26)^(2028-(Assumptions!$B$4+3)))</f>
        <v>0</v>
      </c>
      <c r="E14" s="16" t="n">
        <f aca="false">IF(2029&lt;(Assumptions!$B$4+3),0,Assumptions!$B$25*(1+Assumptions!$B$26)^(2029-(Assumptions!$B$4+3)))</f>
        <v>0</v>
      </c>
      <c r="F14" s="16" t="n">
        <f aca="false">IF(2030&lt;(Assumptions!$B$4+3),0,Assumptions!$B$25*(1+Assumptions!$B$26)^(2030-(Assumptions!$B$4+3)))</f>
        <v>0</v>
      </c>
      <c r="G14" s="16" t="n">
        <f aca="false">IF(2031&lt;(Assumptions!$B$4+3),0,Assumptions!$B$25*(1+Assumptions!$B$26)^(2031-(Assumptions!$B$4+3)))</f>
        <v>0</v>
      </c>
      <c r="H14" s="16" t="n">
        <f aca="false">IF(2032&lt;(Assumptions!$B$4+3),0,Assumptions!$B$25*(1+Assumptions!$B$26)^(2032-(Assumptions!$B$4+3)))</f>
        <v>0</v>
      </c>
      <c r="I14" s="16" t="n">
        <f aca="false">IF(2033&lt;(Assumptions!$B$4+3),0,Assumptions!$B$25*(1+Assumptions!$B$26)^(2033-(Assumptions!$B$4+3)))</f>
        <v>0</v>
      </c>
      <c r="J14" s="16" t="n">
        <f aca="false">IF(2034&lt;(Assumptions!$B$4+3),0,Assumptions!$B$25*(1+Assumptions!$B$26)^(2034-(Assumptions!$B$4+3)))</f>
        <v>20</v>
      </c>
      <c r="K14" s="16" t="n">
        <f aca="false">IF(2035&lt;(Assumptions!$B$4+3),0,Assumptions!$B$25*(1+Assumptions!$B$26)^(2035-(Assumptions!$B$4+3)))</f>
        <v>21.6</v>
      </c>
      <c r="L14" s="16" t="n">
        <f aca="false">IF(2036&lt;(Assumptions!$B$4+3),0,Assumptions!$B$25*(1+Assumptions!$B$26)^(2036-(Assumptions!$B$4+3)))</f>
        <v>23.328</v>
      </c>
      <c r="M14" s="16" t="n">
        <f aca="false">IF(2037&lt;(Assumptions!$B$4+3),0,Assumptions!$B$25*(1+Assumptions!$B$26)^(2037-(Assumptions!$B$4+3)))</f>
        <v>25.19424</v>
      </c>
      <c r="N14" s="16" t="n">
        <f aca="false">IF(2038&lt;(Assumptions!$B$4+3),0,Assumptions!$B$25*(1+Assumptions!$B$26)^(2038-(Assumptions!$B$4+3)))</f>
        <v>27.2097792</v>
      </c>
      <c r="O14" s="16" t="n">
        <f aca="false">IF(2039&lt;(Assumptions!$B$4+3),0,Assumptions!$B$25*(1+Assumptions!$B$26)^(2039-(Assumptions!$B$4+3)))</f>
        <v>29.386561536</v>
      </c>
      <c r="P14" s="16" t="n">
        <f aca="false">IF(2040&lt;(Assumptions!$B$4+3),0,Assumptions!$B$25*(1+Assumptions!$B$26)^(2040-(Assumptions!$B$4+3)))</f>
        <v>31.73748645888</v>
      </c>
      <c r="Q14" s="16" t="n">
        <f aca="false">IF(2041&lt;(Assumptions!$B$4+3),0,Assumptions!$B$25*(1+Assumptions!$B$26)^(2041-(Assumptions!$B$4+3)))</f>
        <v>34.2764853755904</v>
      </c>
      <c r="R14" s="16" t="n">
        <f aca="false">IF(2042&lt;(Assumptions!$B$4+3),0,Assumptions!$B$25*(1+Assumptions!$B$26)^(2042-(Assumptions!$B$4+3)))</f>
        <v>37.0186042056377</v>
      </c>
      <c r="S14" s="16" t="n">
        <f aca="false">IF(2043&lt;(Assumptions!$B$4+3),0,Assumptions!$B$25*(1+Assumptions!$B$26)^(2043-(Assumptions!$B$4+3)))</f>
        <v>39.9800925420887</v>
      </c>
      <c r="T14" s="16" t="n">
        <f aca="false">IF(2044&lt;(Assumptions!$B$4+3),0,Assumptions!$B$25*(1+Assumptions!$B$26)^(2044-(Assumptions!$B$4+3)))</f>
        <v>43.1784999454558</v>
      </c>
      <c r="U14" s="16" t="n">
        <f aca="false">IF(2045&lt;(Assumptions!$B$4+3),0,Assumptions!$B$25*(1+Assumptions!$B$26)^(2045-(Assumptions!$B$4+3)))</f>
        <v>46.6327799410922</v>
      </c>
      <c r="V14" s="16" t="n">
        <f aca="false">IF(2046&lt;(Assumptions!$B$4+3),0,Assumptions!$B$25*(1+Assumptions!$B$26)^(2046-(Assumptions!$B$4+3)))</f>
        <v>50.3634023363796</v>
      </c>
      <c r="W14" s="16" t="n">
        <f aca="false">IF(2047&lt;(Assumptions!$B$4+3),0,Assumptions!$B$25*(1+Assumptions!$B$26)^(2047-(Assumptions!$B$4+3)))</f>
        <v>54.39247452329</v>
      </c>
      <c r="X14" s="16" t="n">
        <f aca="false">IF(2048&lt;(Assumptions!$B$4+3),0,Assumptions!$B$25*(1+Assumptions!$B$26)^(2048-(Assumptions!$B$4+3)))</f>
        <v>58.7438724851532</v>
      </c>
      <c r="Y14" s="16" t="n">
        <f aca="false">IF(2049&lt;(Assumptions!$B$4+3),0,Assumptions!$B$25*(1+Assumptions!$B$26)^(2049-(Assumptions!$B$4+3)))</f>
        <v>63.4433822839654</v>
      </c>
      <c r="Z14" s="16" t="n">
        <f aca="false">IF(2050&lt;(Assumptions!$B$4+3),0,Assumptions!$B$25*(1+Assumptions!$B$26)^(2050-(Assumptions!$B$4+3)))</f>
        <v>68.5188528666827</v>
      </c>
      <c r="AA14" s="16" t="n">
        <f aca="false">IF(2051&lt;(Assumptions!$B$4+3),0,Assumptions!$B$25*(1+Assumptions!$B$26)^(2051-(Assumptions!$B$4+3)))</f>
        <v>74.0003610960173</v>
      </c>
      <c r="AB14" s="16" t="n">
        <f aca="false">IF(2052&lt;(Assumptions!$B$4+3),0,Assumptions!$B$25*(1+Assumptions!$B$26)^(2052-(Assumptions!$B$4+3)))</f>
        <v>79.9203899836987</v>
      </c>
      <c r="AC14" s="16" t="n">
        <f aca="false">IF(2053&lt;(Assumptions!$B$4+3),0,Assumptions!$B$25*(1+Assumptions!$B$26)^(2053-(Assumptions!$B$4+3)))</f>
        <v>86.3140211823946</v>
      </c>
      <c r="AD14" s="16" t="n">
        <f aca="false">IF(2054&lt;(Assumptions!$B$4+3),0,Assumptions!$B$25*(1+Assumptions!$B$26)^(2054-(Assumptions!$B$4+3)))</f>
        <v>93.2191428769862</v>
      </c>
      <c r="AE14" s="16" t="n">
        <f aca="false">IF(2055&lt;(Assumptions!$B$4+3),0,Assumptions!$B$25*(1+Assumptions!$B$26)^(2055-(Assumptions!$B$4+3)))</f>
        <v>100.676674307145</v>
      </c>
      <c r="AF14" s="16" t="n">
        <f aca="false">IF(2056&lt;(Assumptions!$B$4+3),0,Assumptions!$B$25*(1+Assumptions!$B$26)^(2056-(Assumptions!$B$4+3)))</f>
        <v>108.730808251717</v>
      </c>
    </row>
    <row r="15" customFormat="false" ht="15" hidden="false" customHeight="false" outlineLevel="0" collapsed="false">
      <c r="A15" s="4" t="s">
        <v>133</v>
      </c>
      <c r="B15" s="8"/>
      <c r="C15" s="16" t="n">
        <f aca="false">IF(2027&lt;(Assumptions!$B$4+1),0,Assumptions!$B$27*(1+Assumptions!$B$28)^(2027-(Assumptions!$B$4+1)))</f>
        <v>0</v>
      </c>
      <c r="D15" s="16" t="n">
        <f aca="false">IF(2028&lt;(Assumptions!$B$4+1),0,Assumptions!$B$27*(1+Assumptions!$B$28)^(2028-(Assumptions!$B$4+1)))</f>
        <v>0</v>
      </c>
      <c r="E15" s="16" t="n">
        <f aca="false">IF(2029&lt;(Assumptions!$B$4+1),0,Assumptions!$B$27*(1+Assumptions!$B$28)^(2029-(Assumptions!$B$4+1)))</f>
        <v>0</v>
      </c>
      <c r="F15" s="16" t="n">
        <f aca="false">IF(2030&lt;(Assumptions!$B$4+1),0,Assumptions!$B$27*(1+Assumptions!$B$28)^(2030-(Assumptions!$B$4+1)))</f>
        <v>0</v>
      </c>
      <c r="G15" s="16" t="n">
        <f aca="false">IF(2031&lt;(Assumptions!$B$4+1),0,Assumptions!$B$27*(1+Assumptions!$B$28)^(2031-(Assumptions!$B$4+1)))</f>
        <v>0</v>
      </c>
      <c r="H15" s="16" t="n">
        <f aca="false">IF(2032&lt;(Assumptions!$B$4+1),0,Assumptions!$B$27*(1+Assumptions!$B$28)^(2032-(Assumptions!$B$4+1)))</f>
        <v>35</v>
      </c>
      <c r="I15" s="16" t="n">
        <f aca="false">IF(2033&lt;(Assumptions!$B$4+1),0,Assumptions!$B$27*(1+Assumptions!$B$28)^(2033-(Assumptions!$B$4+1)))</f>
        <v>36.75</v>
      </c>
      <c r="J15" s="16" t="n">
        <f aca="false">IF(2034&lt;(Assumptions!$B$4+1),0,Assumptions!$B$27*(1+Assumptions!$B$28)^(2034-(Assumptions!$B$4+1)))</f>
        <v>38.5875</v>
      </c>
      <c r="K15" s="16" t="n">
        <f aca="false">IF(2035&lt;(Assumptions!$B$4+1),0,Assumptions!$B$27*(1+Assumptions!$B$28)^(2035-(Assumptions!$B$4+1)))</f>
        <v>40.516875</v>
      </c>
      <c r="L15" s="16" t="n">
        <f aca="false">IF(2036&lt;(Assumptions!$B$4+1),0,Assumptions!$B$27*(1+Assumptions!$B$28)^(2036-(Assumptions!$B$4+1)))</f>
        <v>42.54271875</v>
      </c>
      <c r="M15" s="16" t="n">
        <f aca="false">IF(2037&lt;(Assumptions!$B$4+1),0,Assumptions!$B$27*(1+Assumptions!$B$28)^(2037-(Assumptions!$B$4+1)))</f>
        <v>44.6698546875</v>
      </c>
      <c r="N15" s="16" t="n">
        <f aca="false">IF(2038&lt;(Assumptions!$B$4+1),0,Assumptions!$B$27*(1+Assumptions!$B$28)^(2038-(Assumptions!$B$4+1)))</f>
        <v>46.903347421875</v>
      </c>
      <c r="O15" s="16" t="n">
        <f aca="false">IF(2039&lt;(Assumptions!$B$4+1),0,Assumptions!$B$27*(1+Assumptions!$B$28)^(2039-(Assumptions!$B$4+1)))</f>
        <v>49.2485147929688</v>
      </c>
      <c r="P15" s="16" t="n">
        <f aca="false">IF(2040&lt;(Assumptions!$B$4+1),0,Assumptions!$B$27*(1+Assumptions!$B$28)^(2040-(Assumptions!$B$4+1)))</f>
        <v>51.7109405326172</v>
      </c>
      <c r="Q15" s="16" t="n">
        <f aca="false">IF(2041&lt;(Assumptions!$B$4+1),0,Assumptions!$B$27*(1+Assumptions!$B$28)^(2041-(Assumptions!$B$4+1)))</f>
        <v>54.2964875592481</v>
      </c>
      <c r="R15" s="16" t="n">
        <f aca="false">IF(2042&lt;(Assumptions!$B$4+1),0,Assumptions!$B$27*(1+Assumptions!$B$28)^(2042-(Assumptions!$B$4+1)))</f>
        <v>57.0113119372105</v>
      </c>
      <c r="S15" s="16" t="n">
        <f aca="false">IF(2043&lt;(Assumptions!$B$4+1),0,Assumptions!$B$27*(1+Assumptions!$B$28)^(2043-(Assumptions!$B$4+1)))</f>
        <v>59.861877534071</v>
      </c>
      <c r="T15" s="16" t="n">
        <f aca="false">IF(2044&lt;(Assumptions!$B$4+1),0,Assumptions!$B$27*(1+Assumptions!$B$28)^(2044-(Assumptions!$B$4+1)))</f>
        <v>62.8549714107746</v>
      </c>
      <c r="U15" s="16" t="n">
        <f aca="false">IF(2045&lt;(Assumptions!$B$4+1),0,Assumptions!$B$27*(1+Assumptions!$B$28)^(2045-(Assumptions!$B$4+1)))</f>
        <v>65.9977199813133</v>
      </c>
      <c r="V15" s="16" t="n">
        <f aca="false">IF(2046&lt;(Assumptions!$B$4+1),0,Assumptions!$B$27*(1+Assumptions!$B$28)^(2046-(Assumptions!$B$4+1)))</f>
        <v>69.297605980379</v>
      </c>
      <c r="W15" s="16" t="n">
        <f aca="false">IF(2047&lt;(Assumptions!$B$4+1),0,Assumptions!$B$27*(1+Assumptions!$B$28)^(2047-(Assumptions!$B$4+1)))</f>
        <v>72.7624862793979</v>
      </c>
      <c r="X15" s="16" t="n">
        <f aca="false">IF(2048&lt;(Assumptions!$B$4+1),0,Assumptions!$B$27*(1+Assumptions!$B$28)^(2048-(Assumptions!$B$4+1)))</f>
        <v>76.4006105933678</v>
      </c>
      <c r="Y15" s="16" t="n">
        <f aca="false">IF(2049&lt;(Assumptions!$B$4+1),0,Assumptions!$B$27*(1+Assumptions!$B$28)^(2049-(Assumptions!$B$4+1)))</f>
        <v>80.2206411230362</v>
      </c>
      <c r="Z15" s="16" t="n">
        <f aca="false">IF(2050&lt;(Assumptions!$B$4+1),0,Assumptions!$B$27*(1+Assumptions!$B$28)^(2050-(Assumptions!$B$4+1)))</f>
        <v>84.231673179188</v>
      </c>
      <c r="AA15" s="16" t="n">
        <f aca="false">IF(2051&lt;(Assumptions!$B$4+1),0,Assumptions!$B$27*(1+Assumptions!$B$28)^(2051-(Assumptions!$B$4+1)))</f>
        <v>88.4432568381474</v>
      </c>
      <c r="AB15" s="16" t="n">
        <f aca="false">IF(2052&lt;(Assumptions!$B$4+1),0,Assumptions!$B$27*(1+Assumptions!$B$28)^(2052-(Assumptions!$B$4+1)))</f>
        <v>92.8654196800548</v>
      </c>
      <c r="AC15" s="16" t="n">
        <f aca="false">IF(2053&lt;(Assumptions!$B$4+1),0,Assumptions!$B$27*(1+Assumptions!$B$28)^(2053-(Assumptions!$B$4+1)))</f>
        <v>97.5086906640575</v>
      </c>
      <c r="AD15" s="16" t="n">
        <f aca="false">IF(2054&lt;(Assumptions!$B$4+1),0,Assumptions!$B$27*(1+Assumptions!$B$28)^(2054-(Assumptions!$B$4+1)))</f>
        <v>102.38412519726</v>
      </c>
      <c r="AE15" s="16" t="n">
        <f aca="false">IF(2055&lt;(Assumptions!$B$4+1),0,Assumptions!$B$27*(1+Assumptions!$B$28)^(2055-(Assumptions!$B$4+1)))</f>
        <v>107.503331457123</v>
      </c>
      <c r="AF15" s="16" t="n">
        <f aca="false">IF(2056&lt;(Assumptions!$B$4+1),0,Assumptions!$B$27*(1+Assumptions!$B$28)^(2056-(Assumptions!$B$4+1)))</f>
        <v>112.87849802998</v>
      </c>
    </row>
    <row r="16" customFormat="false" ht="15" hidden="false" customHeight="false" outlineLevel="0" collapsed="false">
      <c r="A16" s="4" t="s">
        <v>134</v>
      </c>
      <c r="B16" s="8"/>
      <c r="C16" s="16" t="n">
        <f aca="false">IF(2027&lt;(Assumptions!$B$4+1),0,Assumptions!$B$29*(1+Assumptions!$B$30)^(2027-(Assumptions!$B$4+1)))</f>
        <v>0</v>
      </c>
      <c r="D16" s="16" t="n">
        <f aca="false">IF(2028&lt;(Assumptions!$B$4+1),0,Assumptions!$B$29*(1+Assumptions!$B$30)^(2028-(Assumptions!$B$4+1)))</f>
        <v>0</v>
      </c>
      <c r="E16" s="16" t="n">
        <f aca="false">IF(2029&lt;(Assumptions!$B$4+1),0,Assumptions!$B$29*(1+Assumptions!$B$30)^(2029-(Assumptions!$B$4+1)))</f>
        <v>0</v>
      </c>
      <c r="F16" s="16" t="n">
        <f aca="false">IF(2030&lt;(Assumptions!$B$4+1),0,Assumptions!$B$29*(1+Assumptions!$B$30)^(2030-(Assumptions!$B$4+1)))</f>
        <v>0</v>
      </c>
      <c r="G16" s="16" t="n">
        <f aca="false">IF(2031&lt;(Assumptions!$B$4+1),0,Assumptions!$B$29*(1+Assumptions!$B$30)^(2031-(Assumptions!$B$4+1)))</f>
        <v>0</v>
      </c>
      <c r="H16" s="16" t="n">
        <f aca="false">IF(2032&lt;(Assumptions!$B$4+1),0,Assumptions!$B$29*(1+Assumptions!$B$30)^(2032-(Assumptions!$B$4+1)))</f>
        <v>8</v>
      </c>
      <c r="I16" s="16" t="n">
        <f aca="false">IF(2033&lt;(Assumptions!$B$4+1),0,Assumptions!$B$29*(1+Assumptions!$B$30)^(2033-(Assumptions!$B$4+1)))</f>
        <v>8.32</v>
      </c>
      <c r="J16" s="16" t="n">
        <f aca="false">IF(2034&lt;(Assumptions!$B$4+1),0,Assumptions!$B$29*(1+Assumptions!$B$30)^(2034-(Assumptions!$B$4+1)))</f>
        <v>8.6528</v>
      </c>
      <c r="K16" s="16" t="n">
        <f aca="false">IF(2035&lt;(Assumptions!$B$4+1),0,Assumptions!$B$29*(1+Assumptions!$B$30)^(2035-(Assumptions!$B$4+1)))</f>
        <v>8.998912</v>
      </c>
      <c r="L16" s="16" t="n">
        <f aca="false">IF(2036&lt;(Assumptions!$B$4+1),0,Assumptions!$B$29*(1+Assumptions!$B$30)^(2036-(Assumptions!$B$4+1)))</f>
        <v>9.35886848</v>
      </c>
      <c r="M16" s="16" t="n">
        <f aca="false">IF(2037&lt;(Assumptions!$B$4+1),0,Assumptions!$B$29*(1+Assumptions!$B$30)^(2037-(Assumptions!$B$4+1)))</f>
        <v>9.7332232192</v>
      </c>
      <c r="N16" s="16" t="n">
        <f aca="false">IF(2038&lt;(Assumptions!$B$4+1),0,Assumptions!$B$29*(1+Assumptions!$B$30)^(2038-(Assumptions!$B$4+1)))</f>
        <v>10.122552147968</v>
      </c>
      <c r="O16" s="16" t="n">
        <f aca="false">IF(2039&lt;(Assumptions!$B$4+1),0,Assumptions!$B$29*(1+Assumptions!$B$30)^(2039-(Assumptions!$B$4+1)))</f>
        <v>10.5274542338867</v>
      </c>
      <c r="P16" s="16" t="n">
        <f aca="false">IF(2040&lt;(Assumptions!$B$4+1),0,Assumptions!$B$29*(1+Assumptions!$B$30)^(2040-(Assumptions!$B$4+1)))</f>
        <v>10.9485524032422</v>
      </c>
      <c r="Q16" s="16" t="n">
        <f aca="false">IF(2041&lt;(Assumptions!$B$4+1),0,Assumptions!$B$29*(1+Assumptions!$B$30)^(2041-(Assumptions!$B$4+1)))</f>
        <v>11.3864944993719</v>
      </c>
      <c r="R16" s="16" t="n">
        <f aca="false">IF(2042&lt;(Assumptions!$B$4+1),0,Assumptions!$B$29*(1+Assumptions!$B$30)^(2042-(Assumptions!$B$4+1)))</f>
        <v>11.8419542793468</v>
      </c>
      <c r="S16" s="16" t="n">
        <f aca="false">IF(2043&lt;(Assumptions!$B$4+1),0,Assumptions!$B$29*(1+Assumptions!$B$30)^(2043-(Assumptions!$B$4+1)))</f>
        <v>12.3156324505206</v>
      </c>
      <c r="T16" s="16" t="n">
        <f aca="false">IF(2044&lt;(Assumptions!$B$4+1),0,Assumptions!$B$29*(1+Assumptions!$B$30)^(2044-(Assumptions!$B$4+1)))</f>
        <v>12.8082577485415</v>
      </c>
      <c r="U16" s="16" t="n">
        <f aca="false">IF(2045&lt;(Assumptions!$B$4+1),0,Assumptions!$B$29*(1+Assumptions!$B$30)^(2045-(Assumptions!$B$4+1)))</f>
        <v>13.3205880584831</v>
      </c>
      <c r="V16" s="16" t="n">
        <f aca="false">IF(2046&lt;(Assumptions!$B$4+1),0,Assumptions!$B$29*(1+Assumptions!$B$30)^(2046-(Assumptions!$B$4+1)))</f>
        <v>13.8534115808224</v>
      </c>
      <c r="W16" s="16" t="n">
        <f aca="false">IF(2047&lt;(Assumptions!$B$4+1),0,Assumptions!$B$29*(1+Assumptions!$B$30)^(2047-(Assumptions!$B$4+1)))</f>
        <v>14.4075480440553</v>
      </c>
      <c r="X16" s="16" t="n">
        <f aca="false">IF(2048&lt;(Assumptions!$B$4+1),0,Assumptions!$B$29*(1+Assumptions!$B$30)^(2048-(Assumptions!$B$4+1)))</f>
        <v>14.9838499658175</v>
      </c>
      <c r="Y16" s="16" t="n">
        <f aca="false">IF(2049&lt;(Assumptions!$B$4+1),0,Assumptions!$B$29*(1+Assumptions!$B$30)^(2049-(Assumptions!$B$4+1)))</f>
        <v>15.5832039644502</v>
      </c>
      <c r="Z16" s="16" t="n">
        <f aca="false">IF(2050&lt;(Assumptions!$B$4+1),0,Assumptions!$B$29*(1+Assumptions!$B$30)^(2050-(Assumptions!$B$4+1)))</f>
        <v>16.2065321230283</v>
      </c>
      <c r="AA16" s="16" t="n">
        <f aca="false">IF(2051&lt;(Assumptions!$B$4+1),0,Assumptions!$B$29*(1+Assumptions!$B$30)^(2051-(Assumptions!$B$4+1)))</f>
        <v>16.8547934079494</v>
      </c>
      <c r="AB16" s="16" t="n">
        <f aca="false">IF(2052&lt;(Assumptions!$B$4+1),0,Assumptions!$B$29*(1+Assumptions!$B$30)^(2052-(Assumptions!$B$4+1)))</f>
        <v>17.5289851442674</v>
      </c>
      <c r="AC16" s="16" t="n">
        <f aca="false">IF(2053&lt;(Assumptions!$B$4+1),0,Assumptions!$B$29*(1+Assumptions!$B$30)^(2053-(Assumptions!$B$4+1)))</f>
        <v>18.2301445500381</v>
      </c>
      <c r="AD16" s="16" t="n">
        <f aca="false">IF(2054&lt;(Assumptions!$B$4+1),0,Assumptions!$B$29*(1+Assumptions!$B$30)^(2054-(Assumptions!$B$4+1)))</f>
        <v>18.9593503320396</v>
      </c>
      <c r="AE16" s="16" t="n">
        <f aca="false">IF(2055&lt;(Assumptions!$B$4+1),0,Assumptions!$B$29*(1+Assumptions!$B$30)^(2055-(Assumptions!$B$4+1)))</f>
        <v>19.7177243453212</v>
      </c>
      <c r="AF16" s="16" t="n">
        <f aca="false">IF(2056&lt;(Assumptions!$B$4+1),0,Assumptions!$B$29*(1+Assumptions!$B$30)^(2056-(Assumptions!$B$4+1)))</f>
        <v>20.506433319134</v>
      </c>
    </row>
    <row r="17" customFormat="false" ht="15" hidden="false" customHeight="false" outlineLevel="0" collapsed="false">
      <c r="A17" s="4" t="s">
        <v>135</v>
      </c>
      <c r="B17" s="8"/>
      <c r="C17" s="16" t="n">
        <f aca="false">IF(2027&lt;(Assumptions!$B$4+1),0,Assumptions!$B$31*(1+Assumptions!$B$32)^(2027-(Assumptions!$B$4+1)))</f>
        <v>0</v>
      </c>
      <c r="D17" s="16" t="n">
        <f aca="false">IF(2028&lt;(Assumptions!$B$4+1),0,Assumptions!$B$31*(1+Assumptions!$B$32)^(2028-(Assumptions!$B$4+1)))</f>
        <v>0</v>
      </c>
      <c r="E17" s="16" t="n">
        <f aca="false">IF(2029&lt;(Assumptions!$B$4+1),0,Assumptions!$B$31*(1+Assumptions!$B$32)^(2029-(Assumptions!$B$4+1)))</f>
        <v>0</v>
      </c>
      <c r="F17" s="16" t="n">
        <f aca="false">IF(2030&lt;(Assumptions!$B$4+1),0,Assumptions!$B$31*(1+Assumptions!$B$32)^(2030-(Assumptions!$B$4+1)))</f>
        <v>0</v>
      </c>
      <c r="G17" s="16" t="n">
        <f aca="false">IF(2031&lt;(Assumptions!$B$4+1),0,Assumptions!$B$31*(1+Assumptions!$B$32)^(2031-(Assumptions!$B$4+1)))</f>
        <v>0</v>
      </c>
      <c r="H17" s="16" t="n">
        <f aca="false">IF(2032&lt;(Assumptions!$B$4+1),0,Assumptions!$B$31*(1+Assumptions!$B$32)^(2032-(Assumptions!$B$4+1)))</f>
        <v>20</v>
      </c>
      <c r="I17" s="16" t="n">
        <f aca="false">IF(2033&lt;(Assumptions!$B$4+1),0,Assumptions!$B$31*(1+Assumptions!$B$32)^(2033-(Assumptions!$B$4+1)))</f>
        <v>21.2</v>
      </c>
      <c r="J17" s="16" t="n">
        <f aca="false">IF(2034&lt;(Assumptions!$B$4+1),0,Assumptions!$B$31*(1+Assumptions!$B$32)^(2034-(Assumptions!$B$4+1)))</f>
        <v>22.472</v>
      </c>
      <c r="K17" s="16" t="n">
        <f aca="false">IF(2035&lt;(Assumptions!$B$4+1),0,Assumptions!$B$31*(1+Assumptions!$B$32)^(2035-(Assumptions!$B$4+1)))</f>
        <v>23.82032</v>
      </c>
      <c r="L17" s="16" t="n">
        <f aca="false">IF(2036&lt;(Assumptions!$B$4+1),0,Assumptions!$B$31*(1+Assumptions!$B$32)^(2036-(Assumptions!$B$4+1)))</f>
        <v>25.2495392</v>
      </c>
      <c r="M17" s="16" t="n">
        <f aca="false">IF(2037&lt;(Assumptions!$B$4+1),0,Assumptions!$B$31*(1+Assumptions!$B$32)^(2037-(Assumptions!$B$4+1)))</f>
        <v>26.764511552</v>
      </c>
      <c r="N17" s="16" t="n">
        <f aca="false">IF(2038&lt;(Assumptions!$B$4+1),0,Assumptions!$B$31*(1+Assumptions!$B$32)^(2038-(Assumptions!$B$4+1)))</f>
        <v>28.37038224512</v>
      </c>
      <c r="O17" s="16" t="n">
        <f aca="false">IF(2039&lt;(Assumptions!$B$4+1),0,Assumptions!$B$31*(1+Assumptions!$B$32)^(2039-(Assumptions!$B$4+1)))</f>
        <v>30.0726051798272</v>
      </c>
      <c r="P17" s="16" t="n">
        <f aca="false">IF(2040&lt;(Assumptions!$B$4+1),0,Assumptions!$B$31*(1+Assumptions!$B$32)^(2040-(Assumptions!$B$4+1)))</f>
        <v>31.8769614906168</v>
      </c>
      <c r="Q17" s="16" t="n">
        <f aca="false">IF(2041&lt;(Assumptions!$B$4+1),0,Assumptions!$B$31*(1+Assumptions!$B$32)^(2041-(Assumptions!$B$4+1)))</f>
        <v>33.7895791800539</v>
      </c>
      <c r="R17" s="16" t="n">
        <f aca="false">IF(2042&lt;(Assumptions!$B$4+1),0,Assumptions!$B$31*(1+Assumptions!$B$32)^(2042-(Assumptions!$B$4+1)))</f>
        <v>35.8169539308571</v>
      </c>
      <c r="S17" s="16" t="n">
        <f aca="false">IF(2043&lt;(Assumptions!$B$4+1),0,Assumptions!$B$31*(1+Assumptions!$B$32)^(2043-(Assumptions!$B$4+1)))</f>
        <v>37.9659711667085</v>
      </c>
      <c r="T17" s="16" t="n">
        <f aca="false">IF(2044&lt;(Assumptions!$B$4+1),0,Assumptions!$B$31*(1+Assumptions!$B$32)^(2044-(Assumptions!$B$4+1)))</f>
        <v>40.243929436711</v>
      </c>
      <c r="U17" s="16" t="n">
        <f aca="false">IF(2045&lt;(Assumptions!$B$4+1),0,Assumptions!$B$31*(1+Assumptions!$B$32)^(2045-(Assumptions!$B$4+1)))</f>
        <v>42.6585652029137</v>
      </c>
      <c r="V17" s="16" t="n">
        <f aca="false">IF(2046&lt;(Assumptions!$B$4+1),0,Assumptions!$B$31*(1+Assumptions!$B$32)^(2046-(Assumptions!$B$4+1)))</f>
        <v>45.2180791150885</v>
      </c>
      <c r="W17" s="16" t="n">
        <f aca="false">IF(2047&lt;(Assumptions!$B$4+1),0,Assumptions!$B$31*(1+Assumptions!$B$32)^(2047-(Assumptions!$B$4+1)))</f>
        <v>47.9311638619938</v>
      </c>
      <c r="X17" s="16" t="n">
        <f aca="false">IF(2048&lt;(Assumptions!$B$4+1),0,Assumptions!$B$31*(1+Assumptions!$B$32)^(2048-(Assumptions!$B$4+1)))</f>
        <v>50.8070336937135</v>
      </c>
      <c r="Y17" s="16" t="n">
        <f aca="false">IF(2049&lt;(Assumptions!$B$4+1),0,Assumptions!$B$31*(1+Assumptions!$B$32)^(2049-(Assumptions!$B$4+1)))</f>
        <v>53.8554557153363</v>
      </c>
      <c r="Z17" s="16" t="n">
        <f aca="false">IF(2050&lt;(Assumptions!$B$4+1),0,Assumptions!$B$31*(1+Assumptions!$B$32)^(2050-(Assumptions!$B$4+1)))</f>
        <v>57.0867830582565</v>
      </c>
      <c r="AA17" s="16" t="n">
        <f aca="false">IF(2051&lt;(Assumptions!$B$4+1),0,Assumptions!$B$31*(1+Assumptions!$B$32)^(2051-(Assumptions!$B$4+1)))</f>
        <v>60.5119900417518</v>
      </c>
      <c r="AB17" s="16" t="n">
        <f aca="false">IF(2052&lt;(Assumptions!$B$4+1),0,Assumptions!$B$31*(1+Assumptions!$B$32)^(2052-(Assumptions!$B$4+1)))</f>
        <v>64.142709444257</v>
      </c>
      <c r="AC17" s="16" t="n">
        <f aca="false">IF(2053&lt;(Assumptions!$B$4+1),0,Assumptions!$B$31*(1+Assumptions!$B$32)^(2053-(Assumptions!$B$4+1)))</f>
        <v>67.9912720109124</v>
      </c>
      <c r="AD17" s="16" t="n">
        <f aca="false">IF(2054&lt;(Assumptions!$B$4+1),0,Assumptions!$B$31*(1+Assumptions!$B$32)^(2054-(Assumptions!$B$4+1)))</f>
        <v>72.0707483315671</v>
      </c>
      <c r="AE17" s="16" t="n">
        <f aca="false">IF(2055&lt;(Assumptions!$B$4+1),0,Assumptions!$B$31*(1+Assumptions!$B$32)^(2055-(Assumptions!$B$4+1)))</f>
        <v>76.3949932314612</v>
      </c>
      <c r="AF17" s="16" t="n">
        <f aca="false">IF(2056&lt;(Assumptions!$B$4+1),0,Assumptions!$B$31*(1+Assumptions!$B$32)^(2056-(Assumptions!$B$4+1)))</f>
        <v>80.9786928253488</v>
      </c>
    </row>
    <row r="18" customFormat="false" ht="15" hidden="false" customHeight="false" outlineLevel="0" collapsed="false">
      <c r="A18" s="4" t="s">
        <v>136</v>
      </c>
      <c r="B18" s="8"/>
      <c r="C18" s="16" t="n">
        <f aca="false">IF(2027&lt;Assumptions!$B$5,0,Assumptions!$B$33*(1+Assumptions!$B$34)^(2027-Assumptions!$B$5))</f>
        <v>0</v>
      </c>
      <c r="D18" s="16" t="n">
        <f aca="false">IF(2028&lt;Assumptions!$B$5,0,Assumptions!$B$33*(1+Assumptions!$B$34)^(2028-Assumptions!$B$5))</f>
        <v>0</v>
      </c>
      <c r="E18" s="16" t="n">
        <f aca="false">IF(2029&lt;Assumptions!$B$5,0,Assumptions!$B$33*(1+Assumptions!$B$34)^(2029-Assumptions!$B$5))</f>
        <v>0</v>
      </c>
      <c r="F18" s="16" t="n">
        <f aca="false">IF(2030&lt;Assumptions!$B$5,0,Assumptions!$B$33*(1+Assumptions!$B$34)^(2030-Assumptions!$B$5))</f>
        <v>0</v>
      </c>
      <c r="G18" s="16" t="n">
        <f aca="false">IF(2031&lt;Assumptions!$B$5,0,Assumptions!$B$33*(1+Assumptions!$B$34)^(2031-Assumptions!$B$5))</f>
        <v>0</v>
      </c>
      <c r="H18" s="16" t="n">
        <f aca="false">IF(2032&lt;Assumptions!$B$5,0,Assumptions!$B$33*(1+Assumptions!$B$34)^(2032-Assumptions!$B$5))</f>
        <v>0</v>
      </c>
      <c r="I18" s="16" t="n">
        <f aca="false">IF(2033&lt;Assumptions!$B$5,0,Assumptions!$B$33*(1+Assumptions!$B$34)^(2033-Assumptions!$B$5))</f>
        <v>0</v>
      </c>
      <c r="J18" s="16" t="n">
        <f aca="false">IF(2034&lt;Assumptions!$B$5,0,Assumptions!$B$33*(1+Assumptions!$B$34)^(2034-Assumptions!$B$5))</f>
        <v>0</v>
      </c>
      <c r="K18" s="16" t="n">
        <f aca="false">IF(2035&lt;Assumptions!$B$5,0,Assumptions!$B$33*(1+Assumptions!$B$34)^(2035-Assumptions!$B$5))</f>
        <v>0</v>
      </c>
      <c r="L18" s="16" t="n">
        <f aca="false">IF(2036&lt;Assumptions!$B$5,0,Assumptions!$B$33*(1+Assumptions!$B$34)^(2036-Assumptions!$B$5))</f>
        <v>25</v>
      </c>
      <c r="M18" s="16" t="n">
        <f aca="false">IF(2037&lt;Assumptions!$B$5,0,Assumptions!$B$33*(1+Assumptions!$B$34)^(2037-Assumptions!$B$5))</f>
        <v>26.75</v>
      </c>
      <c r="N18" s="16" t="n">
        <f aca="false">IF(2038&lt;Assumptions!$B$5,0,Assumptions!$B$33*(1+Assumptions!$B$34)^(2038-Assumptions!$B$5))</f>
        <v>28.6225</v>
      </c>
      <c r="O18" s="16" t="n">
        <f aca="false">IF(2039&lt;Assumptions!$B$5,0,Assumptions!$B$33*(1+Assumptions!$B$34)^(2039-Assumptions!$B$5))</f>
        <v>30.626075</v>
      </c>
      <c r="P18" s="16" t="n">
        <f aca="false">IF(2040&lt;Assumptions!$B$5,0,Assumptions!$B$33*(1+Assumptions!$B$34)^(2040-Assumptions!$B$5))</f>
        <v>32.76990025</v>
      </c>
      <c r="Q18" s="16" t="n">
        <f aca="false">IF(2041&lt;Assumptions!$B$5,0,Assumptions!$B$33*(1+Assumptions!$B$34)^(2041-Assumptions!$B$5))</f>
        <v>35.0637932675</v>
      </c>
      <c r="R18" s="16" t="n">
        <f aca="false">IF(2042&lt;Assumptions!$B$5,0,Assumptions!$B$33*(1+Assumptions!$B$34)^(2042-Assumptions!$B$5))</f>
        <v>37.518258796225</v>
      </c>
      <c r="S18" s="16" t="n">
        <f aca="false">IF(2043&lt;Assumptions!$B$5,0,Assumptions!$B$33*(1+Assumptions!$B$34)^(2043-Assumptions!$B$5))</f>
        <v>40.1445369119608</v>
      </c>
      <c r="T18" s="16" t="n">
        <f aca="false">IF(2044&lt;Assumptions!$B$5,0,Assumptions!$B$33*(1+Assumptions!$B$34)^(2044-Assumptions!$B$5))</f>
        <v>42.954654495798</v>
      </c>
      <c r="U18" s="16" t="n">
        <f aca="false">IF(2045&lt;Assumptions!$B$5,0,Assumptions!$B$33*(1+Assumptions!$B$34)^(2045-Assumptions!$B$5))</f>
        <v>45.9614803105039</v>
      </c>
      <c r="V18" s="16" t="n">
        <f aca="false">IF(2046&lt;Assumptions!$B$5,0,Assumptions!$B$33*(1+Assumptions!$B$34)^(2046-Assumptions!$B$5))</f>
        <v>49.1787839322392</v>
      </c>
      <c r="W18" s="16" t="n">
        <f aca="false">IF(2047&lt;Assumptions!$B$5,0,Assumptions!$B$33*(1+Assumptions!$B$34)^(2047-Assumptions!$B$5))</f>
        <v>52.6212988074959</v>
      </c>
      <c r="X18" s="16" t="n">
        <f aca="false">IF(2048&lt;Assumptions!$B$5,0,Assumptions!$B$33*(1+Assumptions!$B$34)^(2048-Assumptions!$B$5))</f>
        <v>56.3047897240206</v>
      </c>
      <c r="Y18" s="16" t="n">
        <f aca="false">IF(2049&lt;Assumptions!$B$5,0,Assumptions!$B$33*(1+Assumptions!$B$34)^(2049-Assumptions!$B$5))</f>
        <v>60.2461250047021</v>
      </c>
      <c r="Z18" s="16" t="n">
        <f aca="false">IF(2050&lt;Assumptions!$B$5,0,Assumptions!$B$33*(1+Assumptions!$B$34)^(2050-Assumptions!$B$5))</f>
        <v>64.4633537550312</v>
      </c>
      <c r="AA18" s="16" t="n">
        <f aca="false">IF(2051&lt;Assumptions!$B$5,0,Assumptions!$B$33*(1+Assumptions!$B$34)^(2051-Assumptions!$B$5))</f>
        <v>68.9757885178834</v>
      </c>
      <c r="AB18" s="16" t="n">
        <f aca="false">IF(2052&lt;Assumptions!$B$5,0,Assumptions!$B$33*(1+Assumptions!$B$34)^(2052-Assumptions!$B$5))</f>
        <v>73.8040937141353</v>
      </c>
      <c r="AC18" s="16" t="n">
        <f aca="false">IF(2053&lt;Assumptions!$B$5,0,Assumptions!$B$33*(1+Assumptions!$B$34)^(2053-Assumptions!$B$5))</f>
        <v>78.9703802741247</v>
      </c>
      <c r="AD18" s="16" t="n">
        <f aca="false">IF(2054&lt;Assumptions!$B$5,0,Assumptions!$B$33*(1+Assumptions!$B$34)^(2054-Assumptions!$B$5))</f>
        <v>84.4983068933135</v>
      </c>
      <c r="AE18" s="16" t="n">
        <f aca="false">IF(2055&lt;Assumptions!$B$5,0,Assumptions!$B$33*(1+Assumptions!$B$34)^(2055-Assumptions!$B$5))</f>
        <v>90.4131883758454</v>
      </c>
      <c r="AF18" s="16" t="n">
        <f aca="false">IF(2056&lt;Assumptions!$B$5,0,Assumptions!$B$33*(1+Assumptions!$B$34)^(2056-Assumptions!$B$5))</f>
        <v>96.7421115621546</v>
      </c>
    </row>
    <row r="19" customFormat="false" ht="15" hidden="false" customHeight="false" outlineLevel="0" collapsed="false">
      <c r="A19" s="4" t="s">
        <v>137</v>
      </c>
      <c r="B19" s="8"/>
      <c r="C19" s="16" t="n">
        <f aca="false">IF(2027&lt;(Assumptions!$B$4+1),0,Assumptions!$B$35*(1+Assumptions!$B$36)^(2027-(Assumptions!$B$4+1)))</f>
        <v>0</v>
      </c>
      <c r="D19" s="16" t="n">
        <f aca="false">IF(2028&lt;(Assumptions!$B$4+1),0,Assumptions!$B$35*(1+Assumptions!$B$36)^(2028-(Assumptions!$B$4+1)))</f>
        <v>0</v>
      </c>
      <c r="E19" s="16" t="n">
        <f aca="false">IF(2029&lt;(Assumptions!$B$4+1),0,Assumptions!$B$35*(1+Assumptions!$B$36)^(2029-(Assumptions!$B$4+1)))</f>
        <v>0</v>
      </c>
      <c r="F19" s="16" t="n">
        <f aca="false">IF(2030&lt;(Assumptions!$B$4+1),0,Assumptions!$B$35*(1+Assumptions!$B$36)^(2030-(Assumptions!$B$4+1)))</f>
        <v>0</v>
      </c>
      <c r="G19" s="16" t="n">
        <f aca="false">IF(2031&lt;(Assumptions!$B$4+1),0,Assumptions!$B$35*(1+Assumptions!$B$36)^(2031-(Assumptions!$B$4+1)))</f>
        <v>0</v>
      </c>
      <c r="H19" s="16" t="n">
        <f aca="false">IF(2032&lt;(Assumptions!$B$4+1),0,Assumptions!$B$35*(1+Assumptions!$B$36)^(2032-(Assumptions!$B$4+1)))</f>
        <v>6</v>
      </c>
      <c r="I19" s="16" t="n">
        <f aca="false">IF(2033&lt;(Assumptions!$B$4+1),0,Assumptions!$B$35*(1+Assumptions!$B$36)^(2033-(Assumptions!$B$4+1)))</f>
        <v>6.24</v>
      </c>
      <c r="J19" s="16" t="n">
        <f aca="false">IF(2034&lt;(Assumptions!$B$4+1),0,Assumptions!$B$35*(1+Assumptions!$B$36)^(2034-(Assumptions!$B$4+1)))</f>
        <v>6.4896</v>
      </c>
      <c r="K19" s="16" t="n">
        <f aca="false">IF(2035&lt;(Assumptions!$B$4+1),0,Assumptions!$B$35*(1+Assumptions!$B$36)^(2035-(Assumptions!$B$4+1)))</f>
        <v>6.749184</v>
      </c>
      <c r="L19" s="16" t="n">
        <f aca="false">IF(2036&lt;(Assumptions!$B$4+1),0,Assumptions!$B$35*(1+Assumptions!$B$36)^(2036-(Assumptions!$B$4+1)))</f>
        <v>7.01915136</v>
      </c>
      <c r="M19" s="16" t="n">
        <f aca="false">IF(2037&lt;(Assumptions!$B$4+1),0,Assumptions!$B$35*(1+Assumptions!$B$36)^(2037-(Assumptions!$B$4+1)))</f>
        <v>7.2999174144</v>
      </c>
      <c r="N19" s="16" t="n">
        <f aca="false">IF(2038&lt;(Assumptions!$B$4+1),0,Assumptions!$B$35*(1+Assumptions!$B$36)^(2038-(Assumptions!$B$4+1)))</f>
        <v>7.591914110976</v>
      </c>
      <c r="O19" s="16" t="n">
        <f aca="false">IF(2039&lt;(Assumptions!$B$4+1),0,Assumptions!$B$35*(1+Assumptions!$B$36)^(2039-(Assumptions!$B$4+1)))</f>
        <v>7.89559067541504</v>
      </c>
      <c r="P19" s="16" t="n">
        <f aca="false">IF(2040&lt;(Assumptions!$B$4+1),0,Assumptions!$B$35*(1+Assumptions!$B$36)^(2040-(Assumptions!$B$4+1)))</f>
        <v>8.21141430243164</v>
      </c>
      <c r="Q19" s="16" t="n">
        <f aca="false">IF(2041&lt;(Assumptions!$B$4+1),0,Assumptions!$B$35*(1+Assumptions!$B$36)^(2041-(Assumptions!$B$4+1)))</f>
        <v>8.53987087452891</v>
      </c>
      <c r="R19" s="16" t="n">
        <f aca="false">IF(2042&lt;(Assumptions!$B$4+1),0,Assumptions!$B$35*(1+Assumptions!$B$36)^(2042-(Assumptions!$B$4+1)))</f>
        <v>8.88146570951007</v>
      </c>
      <c r="S19" s="16" t="n">
        <f aca="false">IF(2043&lt;(Assumptions!$B$4+1),0,Assumptions!$B$35*(1+Assumptions!$B$36)^(2043-(Assumptions!$B$4+1)))</f>
        <v>9.23672433789047</v>
      </c>
      <c r="T19" s="16" t="n">
        <f aca="false">IF(2044&lt;(Assumptions!$B$4+1),0,Assumptions!$B$35*(1+Assumptions!$B$36)^(2044-(Assumptions!$B$4+1)))</f>
        <v>9.60619331140609</v>
      </c>
      <c r="U19" s="16" t="n">
        <f aca="false">IF(2045&lt;(Assumptions!$B$4+1),0,Assumptions!$B$35*(1+Assumptions!$B$36)^(2045-(Assumptions!$B$4+1)))</f>
        <v>9.99044104386233</v>
      </c>
      <c r="V19" s="16" t="n">
        <f aca="false">IF(2046&lt;(Assumptions!$B$4+1),0,Assumptions!$B$35*(1+Assumptions!$B$36)^(2046-(Assumptions!$B$4+1)))</f>
        <v>10.3900586856168</v>
      </c>
      <c r="W19" s="16" t="n">
        <f aca="false">IF(2047&lt;(Assumptions!$B$4+1),0,Assumptions!$B$35*(1+Assumptions!$B$36)^(2047-(Assumptions!$B$4+1)))</f>
        <v>10.8056610330415</v>
      </c>
      <c r="X19" s="16" t="n">
        <f aca="false">IF(2048&lt;(Assumptions!$B$4+1),0,Assumptions!$B$35*(1+Assumptions!$B$36)^(2048-(Assumptions!$B$4+1)))</f>
        <v>11.2378874743632</v>
      </c>
      <c r="Y19" s="16" t="n">
        <f aca="false">IF(2049&lt;(Assumptions!$B$4+1),0,Assumptions!$B$35*(1+Assumptions!$B$36)^(2049-(Assumptions!$B$4+1)))</f>
        <v>11.6874029733377</v>
      </c>
      <c r="Z19" s="16" t="n">
        <f aca="false">IF(2050&lt;(Assumptions!$B$4+1),0,Assumptions!$B$35*(1+Assumptions!$B$36)^(2050-(Assumptions!$B$4+1)))</f>
        <v>12.1548990922712</v>
      </c>
      <c r="AA19" s="16" t="n">
        <f aca="false">IF(2051&lt;(Assumptions!$B$4+1),0,Assumptions!$B$35*(1+Assumptions!$B$36)^(2051-(Assumptions!$B$4+1)))</f>
        <v>12.641095055962</v>
      </c>
      <c r="AB19" s="16" t="n">
        <f aca="false">IF(2052&lt;(Assumptions!$B$4+1),0,Assumptions!$B$35*(1+Assumptions!$B$36)^(2052-(Assumptions!$B$4+1)))</f>
        <v>13.1467388582005</v>
      </c>
      <c r="AC19" s="16" t="n">
        <f aca="false">IF(2053&lt;(Assumptions!$B$4+1),0,Assumptions!$B$35*(1+Assumptions!$B$36)^(2053-(Assumptions!$B$4+1)))</f>
        <v>13.6726084125285</v>
      </c>
      <c r="AD19" s="16" t="n">
        <f aca="false">IF(2054&lt;(Assumptions!$B$4+1),0,Assumptions!$B$35*(1+Assumptions!$B$36)^(2054-(Assumptions!$B$4+1)))</f>
        <v>14.2195127490297</v>
      </c>
      <c r="AE19" s="16" t="n">
        <f aca="false">IF(2055&lt;(Assumptions!$B$4+1),0,Assumptions!$B$35*(1+Assumptions!$B$36)^(2055-(Assumptions!$B$4+1)))</f>
        <v>14.7882932589909</v>
      </c>
      <c r="AF19" s="16" t="n">
        <f aca="false">IF(2056&lt;(Assumptions!$B$4+1),0,Assumptions!$B$35*(1+Assumptions!$B$36)^(2056-(Assumptions!$B$4+1)))</f>
        <v>15.3798249893505</v>
      </c>
    </row>
    <row r="20" customFormat="false" ht="15" hidden="false" customHeight="false" outlineLevel="0" collapsed="false">
      <c r="A20" s="17" t="s">
        <v>138</v>
      </c>
      <c r="B20" s="18"/>
      <c r="C20" s="19" t="n">
        <f aca="false">SUM(C13:C19)</f>
        <v>0</v>
      </c>
      <c r="D20" s="19" t="n">
        <f aca="false">SUM(D13:D19)</f>
        <v>0</v>
      </c>
      <c r="E20" s="19" t="n">
        <f aca="false">SUM(E13:E19)</f>
        <v>0</v>
      </c>
      <c r="F20" s="19" t="n">
        <f aca="false">SUM(F13:F19)</f>
        <v>0</v>
      </c>
      <c r="G20" s="19" t="n">
        <f aca="false">SUM(G13:G19)</f>
        <v>0</v>
      </c>
      <c r="H20" s="19" t="n">
        <f aca="false">SUM(H13:H19)</f>
        <v>69</v>
      </c>
      <c r="I20" s="19" t="n">
        <f aca="false">SUM(I13:I19)</f>
        <v>72.51</v>
      </c>
      <c r="J20" s="19" t="n">
        <f aca="false">SUM(J13:J19)</f>
        <v>96.2019</v>
      </c>
      <c r="K20" s="19" t="n">
        <f aca="false">SUM(K13:K19)</f>
        <v>101.685291</v>
      </c>
      <c r="L20" s="19" t="n">
        <f aca="false">SUM(L13:L19)</f>
        <v>157.49827779</v>
      </c>
      <c r="M20" s="19" t="n">
        <f aca="false">SUM(M13:M19)</f>
        <v>166.9117468731</v>
      </c>
      <c r="N20" s="19" t="n">
        <f aca="false">SUM(N13:N19)</f>
        <v>176.910475125939</v>
      </c>
      <c r="O20" s="19" t="n">
        <f aca="false">SUM(O13:O19)</f>
        <v>187.532201418098</v>
      </c>
      <c r="P20" s="19" t="n">
        <f aca="false">SUM(P13:P19)</f>
        <v>198.817179437788</v>
      </c>
      <c r="Q20" s="19" t="n">
        <f aca="false">SUM(Q13:Q19)</f>
        <v>210.808350196293</v>
      </c>
      <c r="R20" s="19" t="n">
        <f aca="false">SUM(R13:R19)</f>
        <v>223.551526665187</v>
      </c>
      <c r="S20" s="19" t="n">
        <f aca="false">SUM(S13:S19)</f>
        <v>237.095591418024</v>
      </c>
      <c r="T20" s="19" t="n">
        <f aca="false">SUM(T13:T19)</f>
        <v>251.492708211958</v>
      </c>
      <c r="U20" s="19" t="n">
        <f aca="false">SUM(U13:U19)</f>
        <v>266.798548513236</v>
      </c>
      <c r="V20" s="19" t="n">
        <f aca="false">SUM(V13:V19)</f>
        <v>283.072534044097</v>
      </c>
      <c r="W20" s="19" t="n">
        <f aca="false">SUM(W13:W19)</f>
        <v>300.37809650766</v>
      </c>
      <c r="X20" s="19" t="n">
        <f aca="false">SUM(X13:X19)</f>
        <v>318.782955732325</v>
      </c>
      <c r="Y20" s="19" t="n">
        <f aca="false">SUM(Y13:Y19)</f>
        <v>338.35941756847</v>
      </c>
      <c r="Z20" s="19" t="n">
        <f aca="false">SUM(Z13:Z19)</f>
        <v>359.184692968319</v>
      </c>
      <c r="AA20" s="19" t="n">
        <f aca="false">SUM(AA13:AA19)</f>
        <v>381.341239785204</v>
      </c>
      <c r="AB20" s="19" t="n">
        <f aca="false">SUM(AB13:AB19)</f>
        <v>404.917128941755</v>
      </c>
      <c r="AC20" s="19" t="n">
        <f aca="false">SUM(AC13:AC19)</f>
        <v>430.006436738226</v>
      </c>
      <c r="AD20" s="19" t="n">
        <f aca="false">SUM(AD13:AD19)</f>
        <v>456.709665203017</v>
      </c>
      <c r="AE20" s="19" t="n">
        <f aca="false">SUM(AE13:AE19)</f>
        <v>485.134192528077</v>
      </c>
      <c r="AF20" s="19" t="n">
        <f aca="false">SUM(AF13:AF19)</f>
        <v>515.394755783005</v>
      </c>
    </row>
    <row r="21" customFormat="false" ht="15" hidden="false" customHeight="false" outlineLevel="0" collapsed="false">
      <c r="A21" s="17" t="s">
        <v>139</v>
      </c>
      <c r="B21" s="18"/>
      <c r="C21" s="19" t="n">
        <f aca="false">C12+C20</f>
        <v>0</v>
      </c>
      <c r="D21" s="19" t="n">
        <f aca="false">D12+D20</f>
        <v>0</v>
      </c>
      <c r="E21" s="19" t="n">
        <f aca="false">E12+E20</f>
        <v>0</v>
      </c>
      <c r="F21" s="19" t="n">
        <f aca="false">F12+F20</f>
        <v>0</v>
      </c>
      <c r="G21" s="19" t="n">
        <f aca="false">G12+G20</f>
        <v>61.8</v>
      </c>
      <c r="H21" s="19" t="n">
        <f aca="false">H12+H20</f>
        <v>143.690775</v>
      </c>
      <c r="I21" s="19" t="n">
        <f aca="false">I12+I20</f>
        <v>161.352045375</v>
      </c>
      <c r="J21" s="19" t="n">
        <f aca="false">J12+J20</f>
        <v>200.610693827156</v>
      </c>
      <c r="K21" s="19" t="n">
        <f aca="false">K12+K20</f>
        <v>223.256301828551</v>
      </c>
      <c r="L21" s="19" t="n">
        <f aca="false">L12+L20</f>
        <v>444.344627390571</v>
      </c>
      <c r="M21" s="19" t="n">
        <f aca="false">M12+M20</f>
        <v>487.298824136004</v>
      </c>
      <c r="N21" s="19" t="n">
        <f aca="false">N12+N20</f>
        <v>516.456820056228</v>
      </c>
      <c r="O21" s="19" t="n">
        <f aca="false">O12+O20</f>
        <v>548.420061607127</v>
      </c>
      <c r="P21" s="19" t="n">
        <f aca="false">P12+P20</f>
        <v>583.592776973283</v>
      </c>
      <c r="Q21" s="19" t="n">
        <f aca="false">Q12+Q20</f>
        <v>622.449335876512</v>
      </c>
      <c r="R21" s="19" t="n">
        <f aca="false">R12+R20</f>
        <v>657.162532686317</v>
      </c>
      <c r="S21" s="19" t="n">
        <f aca="false">S12+S20</f>
        <v>685.882982649893</v>
      </c>
      <c r="T21" s="19" t="n">
        <f aca="false">T12+T20</f>
        <v>715.987658136942</v>
      </c>
      <c r="U21" s="19" t="n">
        <f aca="false">U12+U20</f>
        <v>747.550821685595</v>
      </c>
      <c r="V21" s="19" t="n">
        <f aca="false">V12+V20</f>
        <v>780.651136777488</v>
      </c>
      <c r="W21" s="19" t="n">
        <f aca="false">W12+W20</f>
        <v>815.37195033672</v>
      </c>
      <c r="X21" s="19" t="n">
        <f aca="false">X12+X20</f>
        <v>851.801594445402</v>
      </c>
      <c r="Y21" s="19" t="n">
        <f aca="false">Y12+Y20</f>
        <v>890.033708636505</v>
      </c>
      <c r="Z21" s="19" t="n">
        <f aca="false">Z12+Z20</f>
        <v>930.167584223734</v>
      </c>
      <c r="AA21" s="19" t="n">
        <f aca="false">AA12+AA20</f>
        <v>972.308532234559</v>
      </c>
      <c r="AB21" s="19" t="n">
        <f aca="false">AB12+AB20</f>
        <v>1016.56827662684</v>
      </c>
      <c r="AC21" s="19" t="n">
        <f aca="false">AC12+AC20</f>
        <v>1063.06537459229</v>
      </c>
      <c r="AD21" s="19" t="n">
        <f aca="false">AD12+AD20</f>
        <v>1111.92566588197</v>
      </c>
      <c r="AE21" s="19" t="n">
        <f aca="false">AE12+AE20</f>
        <v>1163.28275323079</v>
      </c>
      <c r="AF21" s="19" t="n">
        <f aca="false">AF12+AF20</f>
        <v>1217.27851611032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140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141</v>
      </c>
      <c r="B4" s="8" t="s">
        <v>142</v>
      </c>
      <c r="C4" s="23" t="n">
        <f aca="false">Assumptions!$B$39*Revenue!C21</f>
        <v>0</v>
      </c>
      <c r="D4" s="23" t="n">
        <f aca="false">Assumptions!$B$39*Revenue!D21</f>
        <v>0</v>
      </c>
      <c r="E4" s="23" t="n">
        <f aca="false">Assumptions!$B$39*Revenue!E21</f>
        <v>0</v>
      </c>
      <c r="F4" s="23" t="n">
        <f aca="false">Assumptions!$B$39*Revenue!F21</f>
        <v>0</v>
      </c>
      <c r="G4" s="23" t="n">
        <f aca="false">Assumptions!$B$39*Revenue!G21</f>
        <v>21.012</v>
      </c>
      <c r="H4" s="23" t="n">
        <f aca="false">Assumptions!$B$39*Revenue!H21</f>
        <v>48.8548635</v>
      </c>
      <c r="I4" s="23" t="n">
        <f aca="false">Assumptions!$B$39*Revenue!I21</f>
        <v>54.8596954275</v>
      </c>
      <c r="J4" s="23" t="n">
        <f aca="false">Assumptions!$B$39*Revenue!J21</f>
        <v>68.2076359012331</v>
      </c>
      <c r="K4" s="23" t="n">
        <f aca="false">Assumptions!$B$39*Revenue!K21</f>
        <v>75.9071426217075</v>
      </c>
      <c r="L4" s="23" t="n">
        <f aca="false">Assumptions!$B$39*Revenue!L21</f>
        <v>151.077173312794</v>
      </c>
      <c r="M4" s="23" t="n">
        <f aca="false">Assumptions!$B$39*Revenue!M21</f>
        <v>165.681600206241</v>
      </c>
      <c r="N4" s="23" t="n">
        <f aca="false">Assumptions!$B$39*Revenue!N21</f>
        <v>175.595318819118</v>
      </c>
      <c r="O4" s="23" t="n">
        <f aca="false">Assumptions!$B$39*Revenue!O21</f>
        <v>186.462820946423</v>
      </c>
      <c r="P4" s="23" t="n">
        <f aca="false">Assumptions!$B$39*Revenue!P21</f>
        <v>198.421544170916</v>
      </c>
      <c r="Q4" s="23" t="n">
        <f aca="false">Assumptions!$B$39*Revenue!Q21</f>
        <v>211.632774198014</v>
      </c>
      <c r="R4" s="23" t="n">
        <f aca="false">Assumptions!$B$39*Revenue!R21</f>
        <v>223.435261113348</v>
      </c>
      <c r="S4" s="23" t="n">
        <f aca="false">Assumptions!$B$39*Revenue!S21</f>
        <v>233.200214100964</v>
      </c>
      <c r="T4" s="23" t="n">
        <f aca="false">Assumptions!$B$39*Revenue!T21</f>
        <v>243.43580376656</v>
      </c>
      <c r="U4" s="23" t="n">
        <f aca="false">Assumptions!$B$39*Revenue!U21</f>
        <v>254.167279373102</v>
      </c>
      <c r="V4" s="23" t="n">
        <f aca="false">Assumptions!$B$39*Revenue!V21</f>
        <v>265.421386504346</v>
      </c>
      <c r="W4" s="23" t="n">
        <f aca="false">Assumptions!$B$39*Revenue!W21</f>
        <v>277.226463114485</v>
      </c>
      <c r="X4" s="23" t="n">
        <f aca="false">Assumptions!$B$39*Revenue!X21</f>
        <v>289.612542111437</v>
      </c>
      <c r="Y4" s="23" t="n">
        <f aca="false">Assumptions!$B$39*Revenue!Y21</f>
        <v>302.611460936412</v>
      </c>
      <c r="Z4" s="23" t="n">
        <f aca="false">Assumptions!$B$39*Revenue!Z21</f>
        <v>316.25697863607</v>
      </c>
      <c r="AA4" s="23" t="n">
        <f aca="false">Assumptions!$B$39*Revenue!AA21</f>
        <v>330.58490095975</v>
      </c>
      <c r="AB4" s="23" t="n">
        <f aca="false">Assumptions!$B$39*Revenue!AB21</f>
        <v>345.633214053125</v>
      </c>
      <c r="AC4" s="23" t="n">
        <f aca="false">Assumptions!$B$39*Revenue!AC21</f>
        <v>361.442227361378</v>
      </c>
      <c r="AD4" s="23" t="n">
        <f aca="false">Assumptions!$B$39*Revenue!AD21</f>
        <v>378.05472639987</v>
      </c>
      <c r="AE4" s="23" t="n">
        <f aca="false">Assumptions!$B$39*Revenue!AE21</f>
        <v>395.51613609847</v>
      </c>
      <c r="AF4" s="23" t="n">
        <f aca="false">Assumptions!$B$39*Revenue!AF21</f>
        <v>413.874695477508</v>
      </c>
    </row>
    <row r="5" customFormat="false" ht="15" hidden="false" customHeight="false" outlineLevel="0" collapsed="false">
      <c r="A5" s="4" t="s">
        <v>143</v>
      </c>
      <c r="B5" s="8" t="s">
        <v>144</v>
      </c>
      <c r="C5" s="23" t="n">
        <f aca="false">Assumptions!$B$40*Revenue!C12</f>
        <v>0</v>
      </c>
      <c r="D5" s="23" t="n">
        <f aca="false">Assumptions!$B$40*Revenue!D12</f>
        <v>0</v>
      </c>
      <c r="E5" s="23" t="n">
        <f aca="false">Assumptions!$B$40*Revenue!E12</f>
        <v>0</v>
      </c>
      <c r="F5" s="23" t="n">
        <f aca="false">Assumptions!$B$40*Revenue!F12</f>
        <v>0</v>
      </c>
      <c r="G5" s="23" t="n">
        <f aca="false">Assumptions!$B$40*Revenue!G12</f>
        <v>11.742</v>
      </c>
      <c r="H5" s="23" t="n">
        <f aca="false">Assumptions!$B$40*Revenue!H12</f>
        <v>14.19124725</v>
      </c>
      <c r="I5" s="23" t="n">
        <f aca="false">Assumptions!$B$40*Revenue!I12</f>
        <v>16.87998862125</v>
      </c>
      <c r="J5" s="23" t="n">
        <f aca="false">Assumptions!$B$40*Revenue!J12</f>
        <v>19.8376708271597</v>
      </c>
      <c r="K5" s="23" t="n">
        <f aca="false">Assumptions!$B$40*Revenue!K12</f>
        <v>23.0984920574247</v>
      </c>
      <c r="L5" s="23" t="n">
        <f aca="false">Assumptions!$B$40*Revenue!L12</f>
        <v>54.5008064241085</v>
      </c>
      <c r="M5" s="23" t="n">
        <f aca="false">Assumptions!$B$40*Revenue!M12</f>
        <v>60.8735446799517</v>
      </c>
      <c r="N5" s="23" t="n">
        <f aca="false">Assumptions!$B$40*Revenue!N12</f>
        <v>64.5138055367549</v>
      </c>
      <c r="O5" s="23" t="n">
        <f aca="false">Assumptions!$B$40*Revenue!O12</f>
        <v>68.5686934359155</v>
      </c>
      <c r="P5" s="23" t="n">
        <f aca="false">Assumptions!$B$40*Revenue!P12</f>
        <v>73.1073635317441</v>
      </c>
      <c r="Q5" s="23" t="n">
        <f aca="false">Assumptions!$B$40*Revenue!Q12</f>
        <v>78.2117872792417</v>
      </c>
      <c r="R5" s="23" t="n">
        <f aca="false">Assumptions!$B$40*Revenue!R12</f>
        <v>82.3860911440146</v>
      </c>
      <c r="S5" s="23" t="n">
        <f aca="false">Assumptions!$B$40*Revenue!S12</f>
        <v>85.2696043340551</v>
      </c>
      <c r="T5" s="23" t="n">
        <f aca="false">Assumptions!$B$40*Revenue!T12</f>
        <v>88.254040485747</v>
      </c>
      <c r="U5" s="23" t="n">
        <f aca="false">Assumptions!$B$40*Revenue!U12</f>
        <v>91.3429319027482</v>
      </c>
      <c r="V5" s="23" t="n">
        <f aca="false">Assumptions!$B$40*Revenue!V12</f>
        <v>94.5399345193444</v>
      </c>
      <c r="W5" s="23" t="n">
        <f aca="false">Assumptions!$B$40*Revenue!W12</f>
        <v>97.8488322275214</v>
      </c>
      <c r="X5" s="23" t="n">
        <f aca="false">Assumptions!$B$40*Revenue!X12</f>
        <v>101.273541355485</v>
      </c>
      <c r="Y5" s="23" t="n">
        <f aca="false">Assumptions!$B$40*Revenue!Y12</f>
        <v>104.818115302927</v>
      </c>
      <c r="Z5" s="23" t="n">
        <f aca="false">Assumptions!$B$40*Revenue!Z12</f>
        <v>108.486749338529</v>
      </c>
      <c r="AA5" s="23" t="n">
        <f aca="false">Assumptions!$B$40*Revenue!AA12</f>
        <v>112.283785565378</v>
      </c>
      <c r="AB5" s="23" t="n">
        <f aca="false">Assumptions!$B$40*Revenue!AB12</f>
        <v>116.213718060166</v>
      </c>
      <c r="AC5" s="23" t="n">
        <f aca="false">Assumptions!$B$40*Revenue!AC12</f>
        <v>120.281198192272</v>
      </c>
      <c r="AD5" s="23" t="n">
        <f aca="false">Assumptions!$B$40*Revenue!AD12</f>
        <v>124.491040129001</v>
      </c>
      <c r="AE5" s="23" t="n">
        <f aca="false">Assumptions!$B$40*Revenue!AE12</f>
        <v>128.848226533516</v>
      </c>
      <c r="AF5" s="23" t="n">
        <f aca="false">Assumptions!$B$40*Revenue!AF12</f>
        <v>133.357914462189</v>
      </c>
    </row>
    <row r="6" customFormat="false" ht="15" hidden="false" customHeight="false" outlineLevel="0" collapsed="false">
      <c r="A6" s="4" t="s">
        <v>145</v>
      </c>
      <c r="B6" s="8" t="s">
        <v>142</v>
      </c>
      <c r="C6" s="23" t="n">
        <f aca="false">Assumptions!$B$41*Revenue!C21</f>
        <v>0</v>
      </c>
      <c r="D6" s="23" t="n">
        <f aca="false">Assumptions!$B$41*Revenue!D21</f>
        <v>0</v>
      </c>
      <c r="E6" s="23" t="n">
        <f aca="false">Assumptions!$B$41*Revenue!E21</f>
        <v>0</v>
      </c>
      <c r="F6" s="23" t="n">
        <f aca="false">Assumptions!$B$41*Revenue!F21</f>
        <v>0</v>
      </c>
      <c r="G6" s="23" t="n">
        <f aca="false">Assumptions!$B$41*Revenue!G21</f>
        <v>6.798</v>
      </c>
      <c r="H6" s="23" t="n">
        <f aca="false">Assumptions!$B$41*Revenue!H21</f>
        <v>15.80598525</v>
      </c>
      <c r="I6" s="23" t="n">
        <f aca="false">Assumptions!$B$41*Revenue!I21</f>
        <v>17.74872499125</v>
      </c>
      <c r="J6" s="23" t="n">
        <f aca="false">Assumptions!$B$41*Revenue!J21</f>
        <v>22.0671763209872</v>
      </c>
      <c r="K6" s="23" t="n">
        <f aca="false">Assumptions!$B$41*Revenue!K21</f>
        <v>24.5581932011406</v>
      </c>
      <c r="L6" s="23" t="n">
        <f aca="false">Assumptions!$B$41*Revenue!L21</f>
        <v>48.8779090129628</v>
      </c>
      <c r="M6" s="23" t="n">
        <f aca="false">Assumptions!$B$41*Revenue!M21</f>
        <v>53.6028706549604</v>
      </c>
      <c r="N6" s="23" t="n">
        <f aca="false">Assumptions!$B$41*Revenue!N21</f>
        <v>56.8102502061851</v>
      </c>
      <c r="O6" s="23" t="n">
        <f aca="false">Assumptions!$B$41*Revenue!O21</f>
        <v>60.3262067767839</v>
      </c>
      <c r="P6" s="23" t="n">
        <f aca="false">Assumptions!$B$41*Revenue!P21</f>
        <v>64.1952054670611</v>
      </c>
      <c r="Q6" s="23" t="n">
        <f aca="false">Assumptions!$B$41*Revenue!Q21</f>
        <v>68.4694269464164</v>
      </c>
      <c r="R6" s="23" t="n">
        <f aca="false">Assumptions!$B$41*Revenue!R21</f>
        <v>72.2878785954948</v>
      </c>
      <c r="S6" s="23" t="n">
        <f aca="false">Assumptions!$B$41*Revenue!S21</f>
        <v>75.4471280914882</v>
      </c>
      <c r="T6" s="23" t="n">
        <f aca="false">Assumptions!$B$41*Revenue!T21</f>
        <v>78.7586423950637</v>
      </c>
      <c r="U6" s="23" t="n">
        <f aca="false">Assumptions!$B$41*Revenue!U21</f>
        <v>82.2305903854154</v>
      </c>
      <c r="V6" s="23" t="n">
        <f aca="false">Assumptions!$B$41*Revenue!V21</f>
        <v>85.8716250455237</v>
      </c>
      <c r="W6" s="23" t="n">
        <f aca="false">Assumptions!$B$41*Revenue!W21</f>
        <v>89.6909145370392</v>
      </c>
      <c r="X6" s="23" t="n">
        <f aca="false">Assumptions!$B$41*Revenue!X21</f>
        <v>93.6981753889942</v>
      </c>
      <c r="Y6" s="23" t="n">
        <f aca="false">Assumptions!$B$41*Revenue!Y21</f>
        <v>97.9037079500155</v>
      </c>
      <c r="Z6" s="23" t="n">
        <f aca="false">Assumptions!$B$41*Revenue!Z21</f>
        <v>102.318434264611</v>
      </c>
      <c r="AA6" s="23" t="n">
        <f aca="false">Assumptions!$B$41*Revenue!AA21</f>
        <v>106.953938545801</v>
      </c>
      <c r="AB6" s="23" t="n">
        <f aca="false">Assumptions!$B$41*Revenue!AB21</f>
        <v>111.822510428952</v>
      </c>
      <c r="AC6" s="23" t="n">
        <f aca="false">Assumptions!$B$41*Revenue!AC21</f>
        <v>116.937191205152</v>
      </c>
      <c r="AD6" s="23" t="n">
        <f aca="false">Assumptions!$B$41*Revenue!AD21</f>
        <v>122.311823247017</v>
      </c>
      <c r="AE6" s="23" t="n">
        <f aca="false">Assumptions!$B$41*Revenue!AE21</f>
        <v>127.961102855387</v>
      </c>
      <c r="AF6" s="23" t="n">
        <f aca="false">Assumptions!$B$41*Revenue!AF21</f>
        <v>133.900636772135</v>
      </c>
    </row>
    <row r="7" customFormat="false" ht="15" hidden="false" customHeight="false" outlineLevel="0" collapsed="false">
      <c r="A7" s="4" t="s">
        <v>146</v>
      </c>
      <c r="B7" s="8" t="s">
        <v>147</v>
      </c>
      <c r="C7" s="23" t="n">
        <f aca="false">Assumptions!$B$42*Capex!C11</f>
        <v>2.67</v>
      </c>
      <c r="D7" s="23" t="n">
        <f aca="false">Assumptions!$B$42*Capex!D11</f>
        <v>5.34</v>
      </c>
      <c r="E7" s="23" t="n">
        <f aca="false">Assumptions!$B$42*Capex!E11</f>
        <v>7.56</v>
      </c>
      <c r="F7" s="23" t="n">
        <f aca="false">Assumptions!$B$42*Capex!F11</f>
        <v>9.78</v>
      </c>
      <c r="G7" s="23" t="n">
        <f aca="false">Assumptions!$B$42*Capex!G11</f>
        <v>12</v>
      </c>
      <c r="H7" s="23" t="n">
        <f aca="false">Assumptions!$B$42*Capex!H11</f>
        <v>14.27625</v>
      </c>
      <c r="I7" s="23" t="n">
        <f aca="false">Assumptions!$B$42*Capex!I11</f>
        <v>16.5740625</v>
      </c>
      <c r="J7" s="23" t="n">
        <f aca="false">Assumptions!$B$42*Capex!J11</f>
        <v>18.8934375</v>
      </c>
      <c r="K7" s="23" t="n">
        <f aca="false">Assumptions!$B$42*Capex!K11</f>
        <v>21.234375</v>
      </c>
      <c r="L7" s="23" t="n">
        <f aca="false">Assumptions!$B$42*Capex!L11</f>
        <v>23.034375</v>
      </c>
      <c r="M7" s="23" t="n">
        <f aca="false">Assumptions!$B$42*Capex!M11</f>
        <v>24.8503125</v>
      </c>
      <c r="N7" s="23" t="n">
        <f aca="false">Assumptions!$B$42*Capex!N11</f>
        <v>26.6821875</v>
      </c>
      <c r="O7" s="23" t="n">
        <f aca="false">Assumptions!$B$42*Capex!O11</f>
        <v>28.53</v>
      </c>
      <c r="P7" s="23" t="n">
        <f aca="false">Assumptions!$B$42*Capex!P11</f>
        <v>28.8</v>
      </c>
      <c r="Q7" s="23" t="n">
        <f aca="false">Assumptions!$B$42*Capex!Q11</f>
        <v>29.07</v>
      </c>
      <c r="R7" s="23" t="n">
        <f aca="false">Assumptions!$B$42*Capex!R11</f>
        <v>29.34</v>
      </c>
      <c r="S7" s="23" t="n">
        <f aca="false">Assumptions!$B$42*Capex!S11</f>
        <v>29.61</v>
      </c>
      <c r="T7" s="23" t="n">
        <f aca="false">Assumptions!$B$42*Capex!T11</f>
        <v>29.88</v>
      </c>
      <c r="U7" s="23" t="n">
        <f aca="false">Assumptions!$B$42*Capex!U11</f>
        <v>30.15</v>
      </c>
      <c r="V7" s="23" t="n">
        <f aca="false">Assumptions!$B$42*Capex!V11</f>
        <v>30.42</v>
      </c>
      <c r="W7" s="23" t="n">
        <f aca="false">Assumptions!$B$42*Capex!W11</f>
        <v>30.69</v>
      </c>
      <c r="X7" s="23" t="n">
        <f aca="false">Assumptions!$B$42*Capex!X11</f>
        <v>30.96</v>
      </c>
      <c r="Y7" s="23" t="n">
        <f aca="false">Assumptions!$B$42*Capex!Y11</f>
        <v>31.23</v>
      </c>
      <c r="Z7" s="23" t="n">
        <f aca="false">Assumptions!$B$42*Capex!Z11</f>
        <v>31.5</v>
      </c>
      <c r="AA7" s="23" t="n">
        <f aca="false">Assumptions!$B$42*Capex!AA11</f>
        <v>31.77</v>
      </c>
      <c r="AB7" s="23" t="n">
        <f aca="false">Assumptions!$B$42*Capex!AB11</f>
        <v>32.04</v>
      </c>
      <c r="AC7" s="23" t="n">
        <f aca="false">Assumptions!$B$42*Capex!AC11</f>
        <v>32.31</v>
      </c>
      <c r="AD7" s="23" t="n">
        <f aca="false">Assumptions!$B$42*Capex!AD11</f>
        <v>32.58</v>
      </c>
      <c r="AE7" s="23" t="n">
        <f aca="false">Assumptions!$B$42*Capex!AE11</f>
        <v>32.85</v>
      </c>
      <c r="AF7" s="23" t="n">
        <f aca="false">Assumptions!$B$42*Capex!AF11</f>
        <v>33.12</v>
      </c>
    </row>
    <row r="8" customFormat="false" ht="15" hidden="false" customHeight="false" outlineLevel="0" collapsed="false">
      <c r="A8" s="17" t="s">
        <v>148</v>
      </c>
      <c r="B8" s="18"/>
      <c r="C8" s="19" t="n">
        <f aca="false">SUM(C4:C7)</f>
        <v>2.67</v>
      </c>
      <c r="D8" s="19" t="n">
        <f aca="false">SUM(D4:D7)</f>
        <v>5.34</v>
      </c>
      <c r="E8" s="19" t="n">
        <f aca="false">SUM(E4:E7)</f>
        <v>7.56</v>
      </c>
      <c r="F8" s="19" t="n">
        <f aca="false">SUM(F4:F7)</f>
        <v>9.78</v>
      </c>
      <c r="G8" s="19" t="n">
        <f aca="false">SUM(G4:G7)</f>
        <v>51.552</v>
      </c>
      <c r="H8" s="19" t="n">
        <f aca="false">SUM(H4:H7)</f>
        <v>93.128346</v>
      </c>
      <c r="I8" s="19" t="n">
        <f aca="false">SUM(I4:I7)</f>
        <v>106.06247154</v>
      </c>
      <c r="J8" s="19" t="n">
        <f aca="false">SUM(J4:J7)</f>
        <v>129.00592054938</v>
      </c>
      <c r="K8" s="19" t="n">
        <f aca="false">SUM(K4:K7)</f>
        <v>144.798202880273</v>
      </c>
      <c r="L8" s="19" t="n">
        <f aca="false">SUM(L4:L7)</f>
        <v>277.490263749865</v>
      </c>
      <c r="M8" s="19" t="n">
        <f aca="false">SUM(M4:M7)</f>
        <v>305.008328041153</v>
      </c>
      <c r="N8" s="19" t="n">
        <f aca="false">SUM(N4:N7)</f>
        <v>323.601562062058</v>
      </c>
      <c r="O8" s="19" t="n">
        <f aca="false">SUM(O4:O7)</f>
        <v>343.887721159123</v>
      </c>
      <c r="P8" s="19" t="n">
        <f aca="false">SUM(P4:P7)</f>
        <v>364.524113169722</v>
      </c>
      <c r="Q8" s="19" t="n">
        <f aca="false">SUM(Q4:Q7)</f>
        <v>387.383988423672</v>
      </c>
      <c r="R8" s="19" t="n">
        <f aca="false">SUM(R4:R7)</f>
        <v>407.449230852857</v>
      </c>
      <c r="S8" s="19" t="n">
        <f aca="false">SUM(S4:S7)</f>
        <v>423.526946526507</v>
      </c>
      <c r="T8" s="19" t="n">
        <f aca="false">SUM(T4:T7)</f>
        <v>440.328486647371</v>
      </c>
      <c r="U8" s="19" t="n">
        <f aca="false">SUM(U4:U7)</f>
        <v>457.890801661266</v>
      </c>
      <c r="V8" s="19" t="n">
        <f aca="false">SUM(V4:V7)</f>
        <v>476.252946069214</v>
      </c>
      <c r="W8" s="19" t="n">
        <f aca="false">SUM(W4:W7)</f>
        <v>495.456209879045</v>
      </c>
      <c r="X8" s="19" t="n">
        <f aca="false">SUM(X4:X7)</f>
        <v>515.544258855916</v>
      </c>
      <c r="Y8" s="19" t="n">
        <f aca="false">SUM(Y4:Y7)</f>
        <v>536.563284189354</v>
      </c>
      <c r="Z8" s="19" t="n">
        <f aca="false">SUM(Z4:Z7)</f>
        <v>558.56216223921</v>
      </c>
      <c r="AA8" s="19" t="n">
        <f aca="false">SUM(AA4:AA7)</f>
        <v>581.592625070929</v>
      </c>
      <c r="AB8" s="19" t="n">
        <f aca="false">SUM(AB4:AB7)</f>
        <v>605.709442542243</v>
      </c>
      <c r="AC8" s="19" t="n">
        <f aca="false">SUM(AC4:AC7)</f>
        <v>630.970616758801</v>
      </c>
      <c r="AD8" s="19" t="n">
        <f aca="false">SUM(AD4:AD7)</f>
        <v>657.437589775887</v>
      </c>
      <c r="AE8" s="19" t="n">
        <f aca="false">SUM(AE4:AE7)</f>
        <v>685.175465487373</v>
      </c>
      <c r="AF8" s="19" t="n">
        <f aca="false">SUM(AF4:AF7)</f>
        <v>714.253246711832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149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150</v>
      </c>
      <c r="B4" s="8"/>
      <c r="C4" s="23" t="n">
        <f aca="false">Revenue!C21</f>
        <v>0</v>
      </c>
      <c r="D4" s="23" t="n">
        <f aca="false">Revenue!D21</f>
        <v>0</v>
      </c>
      <c r="E4" s="23" t="n">
        <f aca="false">Revenue!E21</f>
        <v>0</v>
      </c>
      <c r="F4" s="23" t="n">
        <f aca="false">Revenue!F21</f>
        <v>0</v>
      </c>
      <c r="G4" s="23" t="n">
        <f aca="false">Revenue!G21</f>
        <v>61.8</v>
      </c>
      <c r="H4" s="23" t="n">
        <f aca="false">Revenue!H21</f>
        <v>143.690775</v>
      </c>
      <c r="I4" s="23" t="n">
        <f aca="false">Revenue!I21</f>
        <v>161.352045375</v>
      </c>
      <c r="J4" s="23" t="n">
        <f aca="false">Revenue!J21</f>
        <v>200.610693827156</v>
      </c>
      <c r="K4" s="23" t="n">
        <f aca="false">Revenue!K21</f>
        <v>223.256301828551</v>
      </c>
      <c r="L4" s="23" t="n">
        <f aca="false">Revenue!L21</f>
        <v>444.344627390571</v>
      </c>
      <c r="M4" s="23" t="n">
        <f aca="false">Revenue!M21</f>
        <v>487.298824136004</v>
      </c>
      <c r="N4" s="23" t="n">
        <f aca="false">Revenue!N21</f>
        <v>516.456820056228</v>
      </c>
      <c r="O4" s="23" t="n">
        <f aca="false">Revenue!O21</f>
        <v>548.420061607127</v>
      </c>
      <c r="P4" s="23" t="n">
        <f aca="false">Revenue!P21</f>
        <v>583.592776973283</v>
      </c>
      <c r="Q4" s="23" t="n">
        <f aca="false">Revenue!Q21</f>
        <v>622.449335876512</v>
      </c>
      <c r="R4" s="23" t="n">
        <f aca="false">Revenue!R21</f>
        <v>657.162532686317</v>
      </c>
      <c r="S4" s="23" t="n">
        <f aca="false">Revenue!S21</f>
        <v>685.882982649893</v>
      </c>
      <c r="T4" s="23" t="n">
        <f aca="false">Revenue!T21</f>
        <v>715.987658136942</v>
      </c>
      <c r="U4" s="23" t="n">
        <f aca="false">Revenue!U21</f>
        <v>747.550821685595</v>
      </c>
      <c r="V4" s="23" t="n">
        <f aca="false">Revenue!V21</f>
        <v>780.651136777488</v>
      </c>
      <c r="W4" s="23" t="n">
        <f aca="false">Revenue!W21</f>
        <v>815.37195033672</v>
      </c>
      <c r="X4" s="23" t="n">
        <f aca="false">Revenue!X21</f>
        <v>851.801594445402</v>
      </c>
      <c r="Y4" s="23" t="n">
        <f aca="false">Revenue!Y21</f>
        <v>890.033708636505</v>
      </c>
      <c r="Z4" s="23" t="n">
        <f aca="false">Revenue!Z21</f>
        <v>930.167584223734</v>
      </c>
      <c r="AA4" s="23" t="n">
        <f aca="false">Revenue!AA21</f>
        <v>972.308532234559</v>
      </c>
      <c r="AB4" s="23" t="n">
        <f aca="false">Revenue!AB21</f>
        <v>1016.56827662684</v>
      </c>
      <c r="AC4" s="23" t="n">
        <f aca="false">Revenue!AC21</f>
        <v>1063.06537459229</v>
      </c>
      <c r="AD4" s="23" t="n">
        <f aca="false">Revenue!AD21</f>
        <v>1111.92566588197</v>
      </c>
      <c r="AE4" s="23" t="n">
        <f aca="false">Revenue!AE21</f>
        <v>1163.28275323079</v>
      </c>
      <c r="AF4" s="23" t="n">
        <f aca="false">Revenue!AF21</f>
        <v>1217.27851611032</v>
      </c>
    </row>
    <row r="5" customFormat="false" ht="15" hidden="false" customHeight="false" outlineLevel="0" collapsed="false">
      <c r="A5" s="4" t="s">
        <v>151</v>
      </c>
      <c r="B5" s="8"/>
      <c r="C5" s="23" t="n">
        <f aca="false">Opex!C8</f>
        <v>2.67</v>
      </c>
      <c r="D5" s="23" t="n">
        <f aca="false">Opex!D8</f>
        <v>5.34</v>
      </c>
      <c r="E5" s="23" t="n">
        <f aca="false">Opex!E8</f>
        <v>7.56</v>
      </c>
      <c r="F5" s="23" t="n">
        <f aca="false">Opex!F8</f>
        <v>9.78</v>
      </c>
      <c r="G5" s="23" t="n">
        <f aca="false">Opex!G8</f>
        <v>51.552</v>
      </c>
      <c r="H5" s="23" t="n">
        <f aca="false">Opex!H8</f>
        <v>93.128346</v>
      </c>
      <c r="I5" s="23" t="n">
        <f aca="false">Opex!I8</f>
        <v>106.06247154</v>
      </c>
      <c r="J5" s="23" t="n">
        <f aca="false">Opex!J8</f>
        <v>129.00592054938</v>
      </c>
      <c r="K5" s="23" t="n">
        <f aca="false">Opex!K8</f>
        <v>144.798202880273</v>
      </c>
      <c r="L5" s="23" t="n">
        <f aca="false">Opex!L8</f>
        <v>277.490263749865</v>
      </c>
      <c r="M5" s="23" t="n">
        <f aca="false">Opex!M8</f>
        <v>305.008328041153</v>
      </c>
      <c r="N5" s="23" t="n">
        <f aca="false">Opex!N8</f>
        <v>323.601562062058</v>
      </c>
      <c r="O5" s="23" t="n">
        <f aca="false">Opex!O8</f>
        <v>343.887721159123</v>
      </c>
      <c r="P5" s="23" t="n">
        <f aca="false">Opex!P8</f>
        <v>364.524113169722</v>
      </c>
      <c r="Q5" s="23" t="n">
        <f aca="false">Opex!Q8</f>
        <v>387.383988423672</v>
      </c>
      <c r="R5" s="23" t="n">
        <f aca="false">Opex!R8</f>
        <v>407.449230852857</v>
      </c>
      <c r="S5" s="23" t="n">
        <f aca="false">Opex!S8</f>
        <v>423.526946526507</v>
      </c>
      <c r="T5" s="23" t="n">
        <f aca="false">Opex!T8</f>
        <v>440.328486647371</v>
      </c>
      <c r="U5" s="23" t="n">
        <f aca="false">Opex!U8</f>
        <v>457.890801661266</v>
      </c>
      <c r="V5" s="23" t="n">
        <f aca="false">Opex!V8</f>
        <v>476.252946069214</v>
      </c>
      <c r="W5" s="23" t="n">
        <f aca="false">Opex!W8</f>
        <v>495.456209879045</v>
      </c>
      <c r="X5" s="23" t="n">
        <f aca="false">Opex!X8</f>
        <v>515.544258855916</v>
      </c>
      <c r="Y5" s="23" t="n">
        <f aca="false">Opex!Y8</f>
        <v>536.563284189354</v>
      </c>
      <c r="Z5" s="23" t="n">
        <f aca="false">Opex!Z8</f>
        <v>558.56216223921</v>
      </c>
      <c r="AA5" s="23" t="n">
        <f aca="false">Opex!AA8</f>
        <v>581.592625070929</v>
      </c>
      <c r="AB5" s="23" t="n">
        <f aca="false">Opex!AB8</f>
        <v>605.709442542243</v>
      </c>
      <c r="AC5" s="23" t="n">
        <f aca="false">Opex!AC8</f>
        <v>630.970616758801</v>
      </c>
      <c r="AD5" s="23" t="n">
        <f aca="false">Opex!AD8</f>
        <v>657.437589775887</v>
      </c>
      <c r="AE5" s="23" t="n">
        <f aca="false">Opex!AE8</f>
        <v>685.175465487373</v>
      </c>
      <c r="AF5" s="23" t="n">
        <f aca="false">Opex!AF8</f>
        <v>714.253246711832</v>
      </c>
    </row>
    <row r="6" customFormat="false" ht="15" hidden="false" customHeight="false" outlineLevel="0" collapsed="false">
      <c r="A6" s="17" t="s">
        <v>152</v>
      </c>
      <c r="B6" s="18"/>
      <c r="C6" s="19" t="n">
        <f aca="false">C4-C5</f>
        <v>-2.67</v>
      </c>
      <c r="D6" s="19" t="n">
        <f aca="false">D4-D5</f>
        <v>-5.34</v>
      </c>
      <c r="E6" s="19" t="n">
        <f aca="false">E4-E5</f>
        <v>-7.56</v>
      </c>
      <c r="F6" s="19" t="n">
        <f aca="false">F4-F5</f>
        <v>-9.78</v>
      </c>
      <c r="G6" s="19" t="n">
        <f aca="false">G4-G5</f>
        <v>10.248</v>
      </c>
      <c r="H6" s="19" t="n">
        <f aca="false">H4-H5</f>
        <v>50.562429</v>
      </c>
      <c r="I6" s="19" t="n">
        <f aca="false">I4-I5</f>
        <v>55.289573835</v>
      </c>
      <c r="J6" s="19" t="n">
        <f aca="false">J4-J5</f>
        <v>71.6047732777762</v>
      </c>
      <c r="K6" s="19" t="n">
        <f aca="false">K4-K5</f>
        <v>78.4580989482785</v>
      </c>
      <c r="L6" s="19" t="n">
        <f aca="false">L4-L5</f>
        <v>166.854363640706</v>
      </c>
      <c r="M6" s="19" t="n">
        <f aca="false">M4-M5</f>
        <v>182.29049609485</v>
      </c>
      <c r="N6" s="19" t="n">
        <f aca="false">N4-N5</f>
        <v>192.855257994171</v>
      </c>
      <c r="O6" s="19" t="n">
        <f aca="false">O4-O5</f>
        <v>204.532340448004</v>
      </c>
      <c r="P6" s="19" t="n">
        <f aca="false">P4-P5</f>
        <v>219.068663803562</v>
      </c>
      <c r="Q6" s="19" t="n">
        <f aca="false">Q4-Q5</f>
        <v>235.06534745284</v>
      </c>
      <c r="R6" s="19" t="n">
        <f aca="false">R4-R5</f>
        <v>249.71330183346</v>
      </c>
      <c r="S6" s="19" t="n">
        <f aca="false">S4-S5</f>
        <v>262.356036123386</v>
      </c>
      <c r="T6" s="19" t="n">
        <f aca="false">T4-T5</f>
        <v>275.659171489571</v>
      </c>
      <c r="U6" s="19" t="n">
        <f aca="false">U4-U5</f>
        <v>289.660020024329</v>
      </c>
      <c r="V6" s="19" t="n">
        <f aca="false">V4-V5</f>
        <v>304.398190708274</v>
      </c>
      <c r="W6" s="19" t="n">
        <f aca="false">W4-W5</f>
        <v>319.915740457675</v>
      </c>
      <c r="X6" s="19" t="n">
        <f aca="false">X4-X5</f>
        <v>336.257335589486</v>
      </c>
      <c r="Y6" s="19" t="n">
        <f aca="false">Y4-Y5</f>
        <v>353.470424447151</v>
      </c>
      <c r="Z6" s="19" t="n">
        <f aca="false">Z4-Z5</f>
        <v>371.605421984525</v>
      </c>
      <c r="AA6" s="19" t="n">
        <f aca="false">AA4-AA5</f>
        <v>390.71590716363</v>
      </c>
      <c r="AB6" s="19" t="n">
        <f aca="false">AB4-AB5</f>
        <v>410.858834084595</v>
      </c>
      <c r="AC6" s="19" t="n">
        <f aca="false">AC4-AC5</f>
        <v>432.094757833486</v>
      </c>
      <c r="AD6" s="19" t="n">
        <f aca="false">AD4-AD5</f>
        <v>454.488076106082</v>
      </c>
      <c r="AE6" s="19" t="n">
        <f aca="false">AE4-AE5</f>
        <v>478.10728774342</v>
      </c>
      <c r="AF6" s="19" t="n">
        <f aca="false">AF4-AF5</f>
        <v>503.025269398485</v>
      </c>
    </row>
    <row r="7" customFormat="false" ht="15" hidden="false" customHeight="false" outlineLevel="0" collapsed="false">
      <c r="A7" s="4" t="s">
        <v>153</v>
      </c>
      <c r="B7" s="8"/>
      <c r="C7" s="22" t="n">
        <f aca="false">IF(C4=0,0,C6/C4)</f>
        <v>0</v>
      </c>
      <c r="D7" s="22" t="n">
        <f aca="false">IF(D4=0,0,D6/D4)</f>
        <v>0</v>
      </c>
      <c r="E7" s="22" t="n">
        <f aca="false">IF(E4=0,0,E6/E4)</f>
        <v>0</v>
      </c>
      <c r="F7" s="22" t="n">
        <f aca="false">IF(F4=0,0,F6/F4)</f>
        <v>0</v>
      </c>
      <c r="G7" s="22" t="n">
        <f aca="false">IF(G4=0,0,G6/G4)</f>
        <v>0.165825242718447</v>
      </c>
      <c r="H7" s="22" t="n">
        <f aca="false">IF(H4=0,0,H6/H4)</f>
        <v>0.351883612570118</v>
      </c>
      <c r="I7" s="22" t="n">
        <f aca="false">IF(I4=0,0,I6/I4)</f>
        <v>0.342664226576744</v>
      </c>
      <c r="J7" s="22" t="n">
        <f aca="false">IF(J4=0,0,J6/J4)</f>
        <v>0.35693397949897</v>
      </c>
      <c r="K7" s="22" t="n">
        <f aca="false">IF(K4=0,0,K6/K4)</f>
        <v>0.35142613357687</v>
      </c>
      <c r="L7" s="22" t="n">
        <f aca="false">IF(L4=0,0,L6/L4)</f>
        <v>0.37550665261908</v>
      </c>
      <c r="M7" s="22" t="n">
        <f aca="false">IF(M4=0,0,M6/M4)</f>
        <v>0.374083595251963</v>
      </c>
      <c r="N7" s="22" t="n">
        <f aca="false">IF(N4=0,0,N6/N4)</f>
        <v>0.373419907540719</v>
      </c>
      <c r="O7" s="22" t="n">
        <f aca="false">IF(O4=0,0,O6/O4)</f>
        <v>0.372948319666916</v>
      </c>
      <c r="P7" s="22" t="n">
        <f aca="false">IF(P4=0,0,P6/P4)</f>
        <v>0.375379326899364</v>
      </c>
      <c r="Q7" s="22" t="n">
        <f aca="false">IF(Q4=0,0,Q6/Q4)</f>
        <v>0.377645751877667</v>
      </c>
      <c r="R7" s="22" t="n">
        <f aca="false">IF(R4=0,0,R6/R4)</f>
        <v>0.379987125578651</v>
      </c>
      <c r="S7" s="22" t="n">
        <f aca="false">IF(S4=0,0,S6/S4)</f>
        <v>0.382508449341868</v>
      </c>
      <c r="T7" s="22" t="n">
        <f aca="false">IF(T4=0,0,T6/T4)</f>
        <v>0.385005479293957</v>
      </c>
      <c r="U7" s="22" t="n">
        <f aca="false">IF(U4=0,0,U6/U4)</f>
        <v>0.387478699269164</v>
      </c>
      <c r="V7" s="22" t="n">
        <f aca="false">IF(V4=0,0,V6/V4)</f>
        <v>0.389928581882073</v>
      </c>
      <c r="W7" s="22" t="n">
        <f aca="false">IF(W4=0,0,W6/W4)</f>
        <v>0.392355587318843</v>
      </c>
      <c r="X7" s="22" t="n">
        <f aca="false">IF(X4=0,0,X6/X4)</f>
        <v>0.394760162204697</v>
      </c>
      <c r="Y7" s="22" t="n">
        <f aca="false">IF(Y4=0,0,Y6/Y4)</f>
        <v>0.39714273854712</v>
      </c>
      <c r="Z7" s="22" t="n">
        <f aca="false">IF(Z4=0,0,Z6/Z4)</f>
        <v>0.3995037327544</v>
      </c>
      <c r="AA7" s="22" t="n">
        <f aca="false">IF(AA4=0,0,AA6/AA4)</f>
        <v>0.401843544729251</v>
      </c>
      <c r="AB7" s="22" t="n">
        <f aca="false">IF(AB4=0,0,AB6/AB4)</f>
        <v>0.40416255703739</v>
      </c>
      <c r="AC7" s="22" t="n">
        <f aca="false">IF(AC4=0,0,AC6/AC4)</f>
        <v>0.406461134151045</v>
      </c>
      <c r="AD7" s="22" t="n">
        <f aca="false">IF(AD4=0,0,AD6/AD4)</f>
        <v>0.408739621767419</v>
      </c>
      <c r="AE7" s="22" t="n">
        <f aca="false">IF(AE4=0,0,AE6/AE4)</f>
        <v>0.410998346202219</v>
      </c>
      <c r="AF7" s="22" t="n">
        <f aca="false">IF(AF4=0,0,AF6/AF4)</f>
        <v>0.41323761385837</v>
      </c>
    </row>
    <row r="8" customFormat="false" ht="15" hidden="false" customHeight="false" outlineLevel="0" collapsed="false">
      <c r="A8" s="4" t="s">
        <v>154</v>
      </c>
      <c r="B8" s="8"/>
      <c r="C8" s="23" t="n">
        <f aca="false">-Assumptions!$B$50*Capex!C11</f>
        <v>-7.12</v>
      </c>
      <c r="D8" s="23" t="n">
        <f aca="false">-Assumptions!$B$50*Capex!D11</f>
        <v>-14.24</v>
      </c>
      <c r="E8" s="23" t="n">
        <f aca="false">-Assumptions!$B$50*Capex!E11</f>
        <v>-20.16</v>
      </c>
      <c r="F8" s="23" t="n">
        <f aca="false">-Assumptions!$B$50*Capex!F11</f>
        <v>-26.08</v>
      </c>
      <c r="G8" s="23" t="n">
        <f aca="false">-Assumptions!$B$50*Capex!G11</f>
        <v>-32</v>
      </c>
      <c r="H8" s="23" t="n">
        <f aca="false">-Assumptions!$B$50*Capex!H11</f>
        <v>-38.07</v>
      </c>
      <c r="I8" s="23" t="n">
        <f aca="false">-Assumptions!$B$50*Capex!I11</f>
        <v>-44.1975</v>
      </c>
      <c r="J8" s="23" t="n">
        <f aca="false">-Assumptions!$B$50*Capex!J11</f>
        <v>-50.3825</v>
      </c>
      <c r="K8" s="23" t="n">
        <f aca="false">-Assumptions!$B$50*Capex!K11</f>
        <v>-56.625</v>
      </c>
      <c r="L8" s="23" t="n">
        <f aca="false">-Assumptions!$B$50*Capex!L11</f>
        <v>-61.425</v>
      </c>
      <c r="M8" s="23" t="n">
        <f aca="false">-Assumptions!$B$50*Capex!M11</f>
        <v>-66.2675</v>
      </c>
      <c r="N8" s="23" t="n">
        <f aca="false">-Assumptions!$B$50*Capex!N11</f>
        <v>-71.1525</v>
      </c>
      <c r="O8" s="23" t="n">
        <f aca="false">-Assumptions!$B$50*Capex!O11</f>
        <v>-76.08</v>
      </c>
      <c r="P8" s="23" t="n">
        <f aca="false">-Assumptions!$B$50*Capex!P11</f>
        <v>-76.8</v>
      </c>
      <c r="Q8" s="23" t="n">
        <f aca="false">-Assumptions!$B$50*Capex!Q11</f>
        <v>-77.52</v>
      </c>
      <c r="R8" s="23" t="n">
        <f aca="false">-Assumptions!$B$50*Capex!R11</f>
        <v>-78.24</v>
      </c>
      <c r="S8" s="23" t="n">
        <f aca="false">-Assumptions!$B$50*Capex!S11</f>
        <v>-78.96</v>
      </c>
      <c r="T8" s="23" t="n">
        <f aca="false">-Assumptions!$B$50*Capex!T11</f>
        <v>-79.68</v>
      </c>
      <c r="U8" s="23" t="n">
        <f aca="false">-Assumptions!$B$50*Capex!U11</f>
        <v>-80.4</v>
      </c>
      <c r="V8" s="23" t="n">
        <f aca="false">-Assumptions!$B$50*Capex!V11</f>
        <v>-81.12</v>
      </c>
      <c r="W8" s="23" t="n">
        <f aca="false">-Assumptions!$B$50*Capex!W11</f>
        <v>-81.84</v>
      </c>
      <c r="X8" s="23" t="n">
        <f aca="false">-Assumptions!$B$50*Capex!X11</f>
        <v>-82.56</v>
      </c>
      <c r="Y8" s="23" t="n">
        <f aca="false">-Assumptions!$B$50*Capex!Y11</f>
        <v>-83.28</v>
      </c>
      <c r="Z8" s="23" t="n">
        <f aca="false">-Assumptions!$B$50*Capex!Z11</f>
        <v>-84</v>
      </c>
      <c r="AA8" s="23" t="n">
        <f aca="false">-Assumptions!$B$50*Capex!AA11</f>
        <v>-84.72</v>
      </c>
      <c r="AB8" s="23" t="n">
        <f aca="false">-Assumptions!$B$50*Capex!AB11</f>
        <v>-85.44</v>
      </c>
      <c r="AC8" s="23" t="n">
        <f aca="false">-Assumptions!$B$50*Capex!AC11</f>
        <v>-86.16</v>
      </c>
      <c r="AD8" s="23" t="n">
        <f aca="false">-Assumptions!$B$50*Capex!AD11</f>
        <v>-86.88</v>
      </c>
      <c r="AE8" s="23" t="n">
        <f aca="false">-Assumptions!$B$50*Capex!AE11</f>
        <v>-87.6</v>
      </c>
      <c r="AF8" s="23" t="n">
        <f aca="false">-Assumptions!$B$50*Capex!AF11</f>
        <v>-88.32</v>
      </c>
    </row>
    <row r="9" customFormat="false" ht="15" hidden="false" customHeight="false" outlineLevel="0" collapsed="false">
      <c r="A9" s="4" t="s">
        <v>155</v>
      </c>
      <c r="B9" s="8"/>
      <c r="C9" s="16" t="n">
        <f aca="false">C6+C8</f>
        <v>-9.79</v>
      </c>
      <c r="D9" s="16" t="n">
        <f aca="false">D6+D8</f>
        <v>-19.58</v>
      </c>
      <c r="E9" s="16" t="n">
        <f aca="false">E6+E8</f>
        <v>-27.72</v>
      </c>
      <c r="F9" s="16" t="n">
        <f aca="false">F6+F8</f>
        <v>-35.86</v>
      </c>
      <c r="G9" s="16" t="n">
        <f aca="false">G6+G8</f>
        <v>-21.752</v>
      </c>
      <c r="H9" s="16" t="n">
        <f aca="false">H6+H8</f>
        <v>12.492429</v>
      </c>
      <c r="I9" s="16" t="n">
        <f aca="false">I6+I8</f>
        <v>11.092073835</v>
      </c>
      <c r="J9" s="16" t="n">
        <f aca="false">J6+J8</f>
        <v>21.2222732777762</v>
      </c>
      <c r="K9" s="16" t="n">
        <f aca="false">K6+K8</f>
        <v>21.8330989482785</v>
      </c>
      <c r="L9" s="16" t="n">
        <f aca="false">L6+L8</f>
        <v>105.429363640706</v>
      </c>
      <c r="M9" s="16" t="n">
        <f aca="false">M6+M8</f>
        <v>116.02299609485</v>
      </c>
      <c r="N9" s="16" t="n">
        <f aca="false">N6+N8</f>
        <v>121.702757994171</v>
      </c>
      <c r="O9" s="16" t="n">
        <f aca="false">O6+O8</f>
        <v>128.452340448004</v>
      </c>
      <c r="P9" s="16" t="n">
        <f aca="false">P6+P8</f>
        <v>142.268663803562</v>
      </c>
      <c r="Q9" s="16" t="n">
        <f aca="false">Q6+Q8</f>
        <v>157.54534745284</v>
      </c>
      <c r="R9" s="16" t="n">
        <f aca="false">R6+R8</f>
        <v>171.47330183346</v>
      </c>
      <c r="S9" s="16" t="n">
        <f aca="false">S6+S8</f>
        <v>183.396036123386</v>
      </c>
      <c r="T9" s="16" t="n">
        <f aca="false">T6+T8</f>
        <v>195.979171489571</v>
      </c>
      <c r="U9" s="16" t="n">
        <f aca="false">U6+U8</f>
        <v>209.260020024329</v>
      </c>
      <c r="V9" s="16" t="n">
        <f aca="false">V6+V8</f>
        <v>223.278190708274</v>
      </c>
      <c r="W9" s="16" t="n">
        <f aca="false">W6+W8</f>
        <v>238.075740457675</v>
      </c>
      <c r="X9" s="16" t="n">
        <f aca="false">X6+X8</f>
        <v>253.697335589486</v>
      </c>
      <c r="Y9" s="16" t="n">
        <f aca="false">Y6+Y8</f>
        <v>270.190424447151</v>
      </c>
      <c r="Z9" s="16" t="n">
        <f aca="false">Z6+Z8</f>
        <v>287.605421984525</v>
      </c>
      <c r="AA9" s="16" t="n">
        <f aca="false">AA6+AA8</f>
        <v>305.99590716363</v>
      </c>
      <c r="AB9" s="16" t="n">
        <f aca="false">AB6+AB8</f>
        <v>325.418834084595</v>
      </c>
      <c r="AC9" s="16" t="n">
        <f aca="false">AC6+AC8</f>
        <v>345.934757833486</v>
      </c>
      <c r="AD9" s="16" t="n">
        <f aca="false">AD6+AD8</f>
        <v>367.608076106082</v>
      </c>
      <c r="AE9" s="16" t="n">
        <f aca="false">AE6+AE8</f>
        <v>390.50728774342</v>
      </c>
      <c r="AF9" s="16" t="n">
        <f aca="false">AF6+AF8</f>
        <v>414.705269398485</v>
      </c>
    </row>
    <row r="10" customFormat="false" ht="15" hidden="false" customHeight="false" outlineLevel="0" collapsed="false">
      <c r="A10" s="4" t="s">
        <v>156</v>
      </c>
      <c r="B10" s="8"/>
      <c r="C10" s="23" t="n">
        <f aca="false">-Financing!C8-Financing!C14</f>
        <v>-0</v>
      </c>
      <c r="D10" s="23" t="n">
        <f aca="false">-Financing!D8-Financing!D14</f>
        <v>-9.81542857142857</v>
      </c>
      <c r="E10" s="23" t="n">
        <f aca="false">-Financing!E8-Financing!E14</f>
        <v>-19.6308571428571</v>
      </c>
      <c r="F10" s="23" t="n">
        <f aca="false">-Financing!F8-Financing!F14</f>
        <v>-27.792</v>
      </c>
      <c r="G10" s="23" t="n">
        <f aca="false">-Financing!G8-Financing!G14</f>
        <v>-35.9531428571429</v>
      </c>
      <c r="H10" s="23" t="n">
        <f aca="false">-Financing!H8-Financing!H14</f>
        <v>-44.1142857142857</v>
      </c>
      <c r="I10" s="23" t="n">
        <f aca="false">-Financing!I8-Financing!I14</f>
        <v>-50.0285714285714</v>
      </c>
      <c r="J10" s="23" t="n">
        <f aca="false">-Financing!J8-Financing!J14</f>
        <v>-55.9428571428572</v>
      </c>
      <c r="K10" s="23" t="n">
        <f aca="false">-Financing!K8-Financing!K14</f>
        <v>-57.1428571428572</v>
      </c>
      <c r="L10" s="23" t="n">
        <f aca="false">-Financing!L8-Financing!L14</f>
        <v>-58.3428571428572</v>
      </c>
      <c r="M10" s="23" t="n">
        <f aca="false">-Financing!M8-Financing!M14</f>
        <v>-53.6285714285714</v>
      </c>
      <c r="N10" s="23" t="n">
        <f aca="false">-Financing!N8-Financing!N14</f>
        <v>-48.9142857142857</v>
      </c>
      <c r="O10" s="23" t="n">
        <f aca="false">-Financing!O8-Financing!O14</f>
        <v>-44.2</v>
      </c>
      <c r="P10" s="23" t="n">
        <f aca="false">-Financing!P8-Financing!P14</f>
        <v>-39.4857142857143</v>
      </c>
      <c r="Q10" s="23" t="n">
        <f aca="false">-Financing!Q8-Financing!Q14</f>
        <v>-34.7714285714286</v>
      </c>
      <c r="R10" s="23" t="n">
        <f aca="false">-Financing!R8-Financing!R14</f>
        <v>-30.0571428571429</v>
      </c>
      <c r="S10" s="23" t="n">
        <f aca="false">-Financing!S8-Financing!S14</f>
        <v>-14.1428571428571</v>
      </c>
      <c r="T10" s="23" t="n">
        <f aca="false">-Financing!T8-Financing!T14</f>
        <v>-9.42857142857143</v>
      </c>
      <c r="U10" s="23" t="n">
        <f aca="false">-Financing!U8-Financing!U14</f>
        <v>-4.71428571428572</v>
      </c>
      <c r="V10" s="23" t="n">
        <f aca="false">-Financing!V8-Financing!V14</f>
        <v>-0</v>
      </c>
      <c r="W10" s="23" t="n">
        <f aca="false">-Financing!W8-Financing!W14</f>
        <v>-0</v>
      </c>
      <c r="X10" s="23" t="n">
        <f aca="false">-Financing!X8-Financing!X14</f>
        <v>-0</v>
      </c>
      <c r="Y10" s="23" t="n">
        <f aca="false">-Financing!Y8-Financing!Y14</f>
        <v>-0</v>
      </c>
      <c r="Z10" s="23" t="n">
        <f aca="false">-Financing!Z8-Financing!Z14</f>
        <v>-0</v>
      </c>
      <c r="AA10" s="23" t="n">
        <f aca="false">-Financing!AA8-Financing!AA14</f>
        <v>-0</v>
      </c>
      <c r="AB10" s="23" t="n">
        <f aca="false">-Financing!AB8-Financing!AB14</f>
        <v>-0</v>
      </c>
      <c r="AC10" s="23" t="n">
        <f aca="false">-Financing!AC8-Financing!AC14</f>
        <v>-0</v>
      </c>
      <c r="AD10" s="23" t="n">
        <f aca="false">-Financing!AD8-Financing!AD14</f>
        <v>-0</v>
      </c>
      <c r="AE10" s="23" t="n">
        <f aca="false">-Financing!AE8-Financing!AE14</f>
        <v>-0</v>
      </c>
      <c r="AF10" s="23" t="n">
        <f aca="false">-Financing!AF8-Financing!AF14</f>
        <v>-0</v>
      </c>
    </row>
    <row r="11" customFormat="false" ht="15" hidden="false" customHeight="false" outlineLevel="0" collapsed="false">
      <c r="A11" s="4" t="s">
        <v>157</v>
      </c>
      <c r="B11" s="8"/>
      <c r="C11" s="16" t="n">
        <f aca="false">C9+C10</f>
        <v>-9.79</v>
      </c>
      <c r="D11" s="16" t="n">
        <f aca="false">D9+D10</f>
        <v>-29.3954285714286</v>
      </c>
      <c r="E11" s="16" t="n">
        <f aca="false">E9+E10</f>
        <v>-47.3508571428571</v>
      </c>
      <c r="F11" s="16" t="n">
        <f aca="false">F9+F10</f>
        <v>-63.652</v>
      </c>
      <c r="G11" s="16" t="n">
        <f aca="false">G9+G10</f>
        <v>-57.7051428571429</v>
      </c>
      <c r="H11" s="16" t="n">
        <f aca="false">H9+H10</f>
        <v>-31.6218567142857</v>
      </c>
      <c r="I11" s="16" t="n">
        <f aca="false">I9+I10</f>
        <v>-38.9364975935714</v>
      </c>
      <c r="J11" s="16" t="n">
        <f aca="false">J9+J10</f>
        <v>-34.7205838650809</v>
      </c>
      <c r="K11" s="16" t="n">
        <f aca="false">K9+K10</f>
        <v>-35.3097581945787</v>
      </c>
      <c r="L11" s="16" t="n">
        <f aca="false">L9+L10</f>
        <v>47.0865064978483</v>
      </c>
      <c r="M11" s="16" t="n">
        <f aca="false">M9+M10</f>
        <v>62.3944246662789</v>
      </c>
      <c r="N11" s="16" t="n">
        <f aca="false">N9+N10</f>
        <v>72.7884722798849</v>
      </c>
      <c r="O11" s="16" t="n">
        <f aca="false">O9+O10</f>
        <v>84.2523404480042</v>
      </c>
      <c r="P11" s="16" t="n">
        <f aca="false">P9+P10</f>
        <v>102.782949517847</v>
      </c>
      <c r="Q11" s="16" t="n">
        <f aca="false">Q9+Q10</f>
        <v>122.773918881412</v>
      </c>
      <c r="R11" s="16" t="n">
        <f aca="false">R9+R10</f>
        <v>141.416158976317</v>
      </c>
      <c r="S11" s="16" t="n">
        <f aca="false">S9+S10</f>
        <v>169.253178980529</v>
      </c>
      <c r="T11" s="16" t="n">
        <f aca="false">T9+T10</f>
        <v>186.550600061</v>
      </c>
      <c r="U11" s="16" t="n">
        <f aca="false">U9+U10</f>
        <v>204.545734310043</v>
      </c>
      <c r="V11" s="16" t="n">
        <f aca="false">V9+V10</f>
        <v>223.278190708274</v>
      </c>
      <c r="W11" s="16" t="n">
        <f aca="false">W9+W10</f>
        <v>238.075740457675</v>
      </c>
      <c r="X11" s="16" t="n">
        <f aca="false">X9+X10</f>
        <v>253.697335589486</v>
      </c>
      <c r="Y11" s="16" t="n">
        <f aca="false">Y9+Y10</f>
        <v>270.190424447151</v>
      </c>
      <c r="Z11" s="16" t="n">
        <f aca="false">Z9+Z10</f>
        <v>287.605421984525</v>
      </c>
      <c r="AA11" s="16" t="n">
        <f aca="false">AA9+AA10</f>
        <v>305.99590716363</v>
      </c>
      <c r="AB11" s="16" t="n">
        <f aca="false">AB9+AB10</f>
        <v>325.418834084595</v>
      </c>
      <c r="AC11" s="16" t="n">
        <f aca="false">AC9+AC10</f>
        <v>345.934757833486</v>
      </c>
      <c r="AD11" s="16" t="n">
        <f aca="false">AD9+AD10</f>
        <v>367.608076106082</v>
      </c>
      <c r="AE11" s="16" t="n">
        <f aca="false">AE9+AE10</f>
        <v>390.50728774342</v>
      </c>
      <c r="AF11" s="16" t="n">
        <f aca="false">AF9+AF10</f>
        <v>414.705269398485</v>
      </c>
    </row>
    <row r="12" customFormat="false" ht="15" hidden="false" customHeight="false" outlineLevel="0" collapsed="false">
      <c r="A12" s="4" t="s">
        <v>158</v>
      </c>
      <c r="B12" s="8" t="s">
        <v>159</v>
      </c>
      <c r="C12" s="16" t="n">
        <f aca="false">IF(2027&lt;=Assumptions!$B$6,0,-Assumptions!$B$66*MAX(0,C11))</f>
        <v>0</v>
      </c>
      <c r="D12" s="16" t="n">
        <f aca="false">IF(2028&lt;=Assumptions!$B$6,0,-Assumptions!$B$66*MAX(0,D11))</f>
        <v>0</v>
      </c>
      <c r="E12" s="16" t="n">
        <f aca="false">IF(2029&lt;=Assumptions!$B$6,0,-Assumptions!$B$66*MAX(0,E11))</f>
        <v>0</v>
      </c>
      <c r="F12" s="16" t="n">
        <f aca="false">IF(2030&lt;=Assumptions!$B$6,0,-Assumptions!$B$66*MAX(0,F11))</f>
        <v>0</v>
      </c>
      <c r="G12" s="16" t="n">
        <f aca="false">IF(2031&lt;=Assumptions!$B$6,0,-Assumptions!$B$66*MAX(0,G11))</f>
        <v>0</v>
      </c>
      <c r="H12" s="16" t="n">
        <f aca="false">IF(2032&lt;=Assumptions!$B$6,0,-Assumptions!$B$66*MAX(0,H11))</f>
        <v>0</v>
      </c>
      <c r="I12" s="16" t="n">
        <f aca="false">IF(2033&lt;=Assumptions!$B$6,0,-Assumptions!$B$66*MAX(0,I11))</f>
        <v>0</v>
      </c>
      <c r="J12" s="16" t="n">
        <f aca="false">IF(2034&lt;=Assumptions!$B$6,0,-Assumptions!$B$66*MAX(0,J11))</f>
        <v>0</v>
      </c>
      <c r="K12" s="16" t="n">
        <f aca="false">IF(2035&lt;=Assumptions!$B$6,0,-Assumptions!$B$66*MAX(0,K11))</f>
        <v>0</v>
      </c>
      <c r="L12" s="16" t="n">
        <f aca="false">IF(2036&lt;=Assumptions!$B$6,0,-Assumptions!$B$66*MAX(0,L11))</f>
        <v>-14.1259519493545</v>
      </c>
      <c r="M12" s="16" t="n">
        <f aca="false">IF(2037&lt;=Assumptions!$B$6,0,-Assumptions!$B$66*MAX(0,M11))</f>
        <v>-18.7183273998837</v>
      </c>
      <c r="N12" s="16" t="n">
        <f aca="false">IF(2038&lt;=Assumptions!$B$6,0,-Assumptions!$B$66*MAX(0,N11))</f>
        <v>-21.8365416839655</v>
      </c>
      <c r="O12" s="16" t="n">
        <f aca="false">IF(2039&lt;=Assumptions!$B$6,0,-Assumptions!$B$66*MAX(0,O11))</f>
        <v>-25.2757021344013</v>
      </c>
      <c r="P12" s="16" t="n">
        <f aca="false">IF(2040&lt;=Assumptions!$B$6,0,-Assumptions!$B$66*MAX(0,P11))</f>
        <v>-30.8348848553542</v>
      </c>
      <c r="Q12" s="16" t="n">
        <f aca="false">IF(2041&lt;=Assumptions!$B$6,0,-Assumptions!$B$66*MAX(0,Q11))</f>
        <v>-36.8321756644235</v>
      </c>
      <c r="R12" s="16" t="n">
        <f aca="false">IF(2042&lt;=Assumptions!$B$6,0,-Assumptions!$B$66*MAX(0,R11))</f>
        <v>-42.424847692895</v>
      </c>
      <c r="S12" s="16" t="n">
        <f aca="false">IF(2043&lt;=Assumptions!$B$6,0,-Assumptions!$B$66*MAX(0,S11))</f>
        <v>-50.7759536941587</v>
      </c>
      <c r="T12" s="16" t="n">
        <f aca="false">IF(2044&lt;=Assumptions!$B$6,0,-Assumptions!$B$66*MAX(0,T11))</f>
        <v>-55.9651800182999</v>
      </c>
      <c r="U12" s="16" t="n">
        <f aca="false">IF(2045&lt;=Assumptions!$B$6,0,-Assumptions!$B$66*MAX(0,U11))</f>
        <v>-61.3637202930129</v>
      </c>
      <c r="V12" s="16" t="n">
        <f aca="false">IF(2046&lt;=Assumptions!$B$6,0,-Assumptions!$B$66*MAX(0,V11))</f>
        <v>-66.9834572124822</v>
      </c>
      <c r="W12" s="16" t="n">
        <f aca="false">IF(2047&lt;=Assumptions!$B$6,0,-Assumptions!$B$66*MAX(0,W11))</f>
        <v>-71.4227221373024</v>
      </c>
      <c r="X12" s="16" t="n">
        <f aca="false">IF(2048&lt;=Assumptions!$B$6,0,-Assumptions!$B$66*MAX(0,X11))</f>
        <v>-76.1092006768458</v>
      </c>
      <c r="Y12" s="16" t="n">
        <f aca="false">IF(2049&lt;=Assumptions!$B$6,0,-Assumptions!$B$66*MAX(0,Y11))</f>
        <v>-81.0571273341453</v>
      </c>
      <c r="Z12" s="16" t="n">
        <f aca="false">IF(2050&lt;=Assumptions!$B$6,0,-Assumptions!$B$66*MAX(0,Z11))</f>
        <v>-86.2816265953574</v>
      </c>
      <c r="AA12" s="16" t="n">
        <f aca="false">IF(2051&lt;=Assumptions!$B$6,0,-Assumptions!$B$66*MAX(0,AA11))</f>
        <v>-91.798772149089</v>
      </c>
      <c r="AB12" s="16" t="n">
        <f aca="false">IF(2052&lt;=Assumptions!$B$6,0,-Assumptions!$B$66*MAX(0,AB11))</f>
        <v>-97.6256502253786</v>
      </c>
      <c r="AC12" s="16" t="n">
        <f aca="false">IF(2053&lt;=Assumptions!$B$6,0,-Assumptions!$B$66*MAX(0,AC11))</f>
        <v>-103.780427350046</v>
      </c>
      <c r="AD12" s="16" t="n">
        <f aca="false">IF(2054&lt;=Assumptions!$B$6,0,-Assumptions!$B$66*MAX(0,AD11))</f>
        <v>-110.282422831825</v>
      </c>
      <c r="AE12" s="16" t="n">
        <f aca="false">IF(2055&lt;=Assumptions!$B$6,0,-Assumptions!$B$66*MAX(0,AE11))</f>
        <v>-117.152186323026</v>
      </c>
      <c r="AF12" s="16" t="n">
        <f aca="false">IF(2056&lt;=Assumptions!$B$6,0,-Assumptions!$B$66*MAX(0,AF11))</f>
        <v>-124.411580819545</v>
      </c>
    </row>
    <row r="13" customFormat="false" ht="15" hidden="false" customHeight="false" outlineLevel="0" collapsed="false">
      <c r="A13" s="17" t="s">
        <v>160</v>
      </c>
      <c r="B13" s="18"/>
      <c r="C13" s="19" t="n">
        <f aca="false">C11+C12</f>
        <v>-9.79</v>
      </c>
      <c r="D13" s="19" t="n">
        <f aca="false">D11+D12</f>
        <v>-29.3954285714286</v>
      </c>
      <c r="E13" s="19" t="n">
        <f aca="false">E11+E12</f>
        <v>-47.3508571428571</v>
      </c>
      <c r="F13" s="19" t="n">
        <f aca="false">F11+F12</f>
        <v>-63.652</v>
      </c>
      <c r="G13" s="19" t="n">
        <f aca="false">G11+G12</f>
        <v>-57.7051428571429</v>
      </c>
      <c r="H13" s="19" t="n">
        <f aca="false">H11+H12</f>
        <v>-31.6218567142857</v>
      </c>
      <c r="I13" s="19" t="n">
        <f aca="false">I11+I12</f>
        <v>-38.9364975935714</v>
      </c>
      <c r="J13" s="19" t="n">
        <f aca="false">J11+J12</f>
        <v>-34.7205838650809</v>
      </c>
      <c r="K13" s="19" t="n">
        <f aca="false">K11+K12</f>
        <v>-35.3097581945787</v>
      </c>
      <c r="L13" s="19" t="n">
        <f aca="false">L11+L12</f>
        <v>32.9605545484938</v>
      </c>
      <c r="M13" s="19" t="n">
        <f aca="false">M11+M12</f>
        <v>43.6760972663953</v>
      </c>
      <c r="N13" s="19" t="n">
        <f aca="false">N11+N12</f>
        <v>50.9519305959194</v>
      </c>
      <c r="O13" s="19" t="n">
        <f aca="false">O11+O12</f>
        <v>58.976638313603</v>
      </c>
      <c r="P13" s="19" t="n">
        <f aca="false">P11+P12</f>
        <v>71.9480646624931</v>
      </c>
      <c r="Q13" s="19" t="n">
        <f aca="false">Q11+Q12</f>
        <v>85.9417432169881</v>
      </c>
      <c r="R13" s="19" t="n">
        <f aca="false">R11+R12</f>
        <v>98.9913112834217</v>
      </c>
      <c r="S13" s="19" t="n">
        <f aca="false">S11+S12</f>
        <v>118.47722528637</v>
      </c>
      <c r="T13" s="19" t="n">
        <f aca="false">T11+T12</f>
        <v>130.5854200427</v>
      </c>
      <c r="U13" s="19" t="n">
        <f aca="false">U11+U12</f>
        <v>143.18201401703</v>
      </c>
      <c r="V13" s="19" t="n">
        <f aca="false">V11+V12</f>
        <v>156.294733495792</v>
      </c>
      <c r="W13" s="19" t="n">
        <f aca="false">W11+W12</f>
        <v>166.653018320372</v>
      </c>
      <c r="X13" s="19" t="n">
        <f aca="false">X11+X12</f>
        <v>177.58813491264</v>
      </c>
      <c r="Y13" s="19" t="n">
        <f aca="false">Y11+Y12</f>
        <v>189.133297113006</v>
      </c>
      <c r="Z13" s="19" t="n">
        <f aca="false">Z11+Z12</f>
        <v>201.323795389167</v>
      </c>
      <c r="AA13" s="19" t="n">
        <f aca="false">AA11+AA12</f>
        <v>214.197135014541</v>
      </c>
      <c r="AB13" s="19" t="n">
        <f aca="false">AB11+AB12</f>
        <v>227.793183859217</v>
      </c>
      <c r="AC13" s="19" t="n">
        <f aca="false">AC11+AC12</f>
        <v>242.15433048344</v>
      </c>
      <c r="AD13" s="19" t="n">
        <f aca="false">AD11+AD12</f>
        <v>257.325653274258</v>
      </c>
      <c r="AE13" s="19" t="n">
        <f aca="false">AE11+AE12</f>
        <v>273.355101420394</v>
      </c>
      <c r="AF13" s="19" t="n">
        <f aca="false">AF11+AF12</f>
        <v>290.293688578939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161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162</v>
      </c>
      <c r="B4" s="8" t="s">
        <v>163</v>
      </c>
      <c r="C4" s="23" t="n">
        <f aca="false">IF(2027&lt;=Assumptions!$B$5-1,(Assumptions!$B$56+Assumptions!$B$57)*Capex!C9/(1-Assumptions!$B$58),0)</f>
        <v>91.5428571428572</v>
      </c>
      <c r="D4" s="23" t="n">
        <f aca="false">IF(2028&lt;=Assumptions!$B$5-1,(Assumptions!$B$56+Assumptions!$B$57)*Capex!D9/(1-Assumptions!$B$58),0)</f>
        <v>91.5428571428572</v>
      </c>
      <c r="E4" s="23" t="n">
        <f aca="false">IF(2029&lt;=Assumptions!$B$5-1,(Assumptions!$B$56+Assumptions!$B$57)*Capex!E9/(1-Assumptions!$B$58),0)</f>
        <v>76.1142857142857</v>
      </c>
      <c r="F4" s="23" t="n">
        <f aca="false">IF(2030&lt;=Assumptions!$B$5-1,(Assumptions!$B$56+Assumptions!$B$57)*Capex!F9/(1-Assumptions!$B$58),0)</f>
        <v>76.1142857142857</v>
      </c>
      <c r="G4" s="23" t="n">
        <f aca="false">IF(2031&lt;=Assumptions!$B$5-1,(Assumptions!$B$56+Assumptions!$B$57)*Capex!G9/(1-Assumptions!$B$58),0)</f>
        <v>76.1142857142857</v>
      </c>
      <c r="H4" s="23" t="n">
        <f aca="false">IF(2032&lt;=Assumptions!$B$5-1,(Assumptions!$B$56+Assumptions!$B$57)*Capex!H9/(1-Assumptions!$B$58),0)</f>
        <v>73.9285714285714</v>
      </c>
      <c r="I4" s="23" t="n">
        <f aca="false">IF(2033&lt;=Assumptions!$B$5-1,(Assumptions!$B$56+Assumptions!$B$57)*Capex!I9/(1-Assumptions!$B$58),0)</f>
        <v>73.9285714285714</v>
      </c>
      <c r="J4" s="23" t="n">
        <f aca="false">IF(2034&lt;=Assumptions!$B$5-1,(Assumptions!$B$56+Assumptions!$B$57)*Capex!J9/(1-Assumptions!$B$58),0)</f>
        <v>73.9285714285714</v>
      </c>
      <c r="K4" s="23" t="n">
        <f aca="false">IF(2035&lt;=Assumptions!$B$5-1,(Assumptions!$B$56+Assumptions!$B$57)*Capex!K9/(1-Assumptions!$B$58),0)</f>
        <v>73.9285714285714</v>
      </c>
      <c r="L4" s="23" t="n">
        <f aca="false">IF(2036&lt;=Assumptions!$B$5-1,(Assumptions!$B$56+Assumptions!$B$57)*Capex!L9/(1-Assumptions!$B$58),0)</f>
        <v>0</v>
      </c>
      <c r="M4" s="23" t="n">
        <f aca="false">IF(2037&lt;=Assumptions!$B$5-1,(Assumptions!$B$56+Assumptions!$B$57)*Capex!M9/(1-Assumptions!$B$58),0)</f>
        <v>0</v>
      </c>
      <c r="N4" s="23" t="n">
        <f aca="false">IF(2038&lt;=Assumptions!$B$5-1,(Assumptions!$B$56+Assumptions!$B$57)*Capex!N9/(1-Assumptions!$B$58),0)</f>
        <v>0</v>
      </c>
      <c r="O4" s="23" t="n">
        <f aca="false">IF(2039&lt;=Assumptions!$B$5-1,(Assumptions!$B$56+Assumptions!$B$57)*Capex!O9/(1-Assumptions!$B$58),0)</f>
        <v>0</v>
      </c>
      <c r="P4" s="23" t="n">
        <f aca="false">IF(2040&lt;=Assumptions!$B$5-1,(Assumptions!$B$56+Assumptions!$B$57)*Capex!P9/(1-Assumptions!$B$58),0)</f>
        <v>0</v>
      </c>
      <c r="Q4" s="23" t="n">
        <f aca="false">IF(2041&lt;=Assumptions!$B$5-1,(Assumptions!$B$56+Assumptions!$B$57)*Capex!Q9/(1-Assumptions!$B$58),0)</f>
        <v>0</v>
      </c>
      <c r="R4" s="23" t="n">
        <f aca="false">IF(2042&lt;=Assumptions!$B$5-1,(Assumptions!$B$56+Assumptions!$B$57)*Capex!R9/(1-Assumptions!$B$58),0)</f>
        <v>0</v>
      </c>
      <c r="S4" s="23" t="n">
        <f aca="false">IF(2043&lt;=Assumptions!$B$5-1,(Assumptions!$B$56+Assumptions!$B$57)*Capex!S9/(1-Assumptions!$B$58),0)</f>
        <v>0</v>
      </c>
      <c r="T4" s="23" t="n">
        <f aca="false">IF(2044&lt;=Assumptions!$B$5-1,(Assumptions!$B$56+Assumptions!$B$57)*Capex!T9/(1-Assumptions!$B$58),0)</f>
        <v>0</v>
      </c>
      <c r="U4" s="23" t="n">
        <f aca="false">IF(2045&lt;=Assumptions!$B$5-1,(Assumptions!$B$56+Assumptions!$B$57)*Capex!U9/(1-Assumptions!$B$58),0)</f>
        <v>0</v>
      </c>
      <c r="V4" s="23" t="n">
        <f aca="false">IF(2046&lt;=Assumptions!$B$5-1,(Assumptions!$B$56+Assumptions!$B$57)*Capex!V9/(1-Assumptions!$B$58),0)</f>
        <v>0</v>
      </c>
      <c r="W4" s="23" t="n">
        <f aca="false">IF(2047&lt;=Assumptions!$B$5-1,(Assumptions!$B$56+Assumptions!$B$57)*Capex!W9/(1-Assumptions!$B$58),0)</f>
        <v>0</v>
      </c>
      <c r="X4" s="23" t="n">
        <f aca="false">IF(2048&lt;=Assumptions!$B$5-1,(Assumptions!$B$56+Assumptions!$B$57)*Capex!X9/(1-Assumptions!$B$58),0)</f>
        <v>0</v>
      </c>
      <c r="Y4" s="23" t="n">
        <f aca="false">IF(2049&lt;=Assumptions!$B$5-1,(Assumptions!$B$56+Assumptions!$B$57)*Capex!Y9/(1-Assumptions!$B$58),0)</f>
        <v>0</v>
      </c>
      <c r="Z4" s="23" t="n">
        <f aca="false">IF(2050&lt;=Assumptions!$B$5-1,(Assumptions!$B$56+Assumptions!$B$57)*Capex!Z9/(1-Assumptions!$B$58),0)</f>
        <v>0</v>
      </c>
      <c r="AA4" s="23" t="n">
        <f aca="false">IF(2051&lt;=Assumptions!$B$5-1,(Assumptions!$B$56+Assumptions!$B$57)*Capex!AA9/(1-Assumptions!$B$58),0)</f>
        <v>0</v>
      </c>
      <c r="AB4" s="23" t="n">
        <f aca="false">IF(2052&lt;=Assumptions!$B$5-1,(Assumptions!$B$56+Assumptions!$B$57)*Capex!AB9/(1-Assumptions!$B$58),0)</f>
        <v>0</v>
      </c>
      <c r="AC4" s="23" t="n">
        <f aca="false">IF(2053&lt;=Assumptions!$B$5-1,(Assumptions!$B$56+Assumptions!$B$57)*Capex!AC9/(1-Assumptions!$B$58),0)</f>
        <v>0</v>
      </c>
      <c r="AD4" s="23" t="n">
        <f aca="false">IF(2054&lt;=Assumptions!$B$5-1,(Assumptions!$B$56+Assumptions!$B$57)*Capex!AD9/(1-Assumptions!$B$58),0)</f>
        <v>0</v>
      </c>
      <c r="AE4" s="23" t="n">
        <f aca="false">IF(2055&lt;=Assumptions!$B$5-1,(Assumptions!$B$56+Assumptions!$B$57)*Capex!AE9/(1-Assumptions!$B$58),0)</f>
        <v>0</v>
      </c>
      <c r="AF4" s="23" t="n">
        <f aca="false">IF(2056&lt;=Assumptions!$B$5-1,(Assumptions!$B$56+Assumptions!$B$57)*Capex!AF9/(1-Assumptions!$B$58),0)</f>
        <v>0</v>
      </c>
    </row>
    <row r="5" customFormat="false" ht="15" hidden="false" customHeight="false" outlineLevel="0" collapsed="false">
      <c r="A5" s="4" t="s">
        <v>164</v>
      </c>
      <c r="B5" s="8" t="s">
        <v>165</v>
      </c>
      <c r="C5" s="16" t="n">
        <f aca="false">-IF(AND(2027&gt;=Assumptions!$B$62,2027&lt;Assumptions!$B$62+Assumptions!$B$63),SUM($C$4:$AF$4)/Assumptions!$B$63,0)</f>
        <v>-0</v>
      </c>
      <c r="D5" s="16" t="n">
        <f aca="false">-IF(AND(2028&gt;=Assumptions!$B$62,2028&lt;Assumptions!$B$62+Assumptions!$B$63),SUM($C$4:$AF$4)/Assumptions!$B$63,0)</f>
        <v>-0</v>
      </c>
      <c r="E5" s="16" t="n">
        <f aca="false">-IF(AND(2029&gt;=Assumptions!$B$62,2029&lt;Assumptions!$B$62+Assumptions!$B$63),SUM($C$4:$AF$4)/Assumptions!$B$63,0)</f>
        <v>-0</v>
      </c>
      <c r="F5" s="16" t="n">
        <f aca="false">-IF(AND(2030&gt;=Assumptions!$B$62,2030&lt;Assumptions!$B$62+Assumptions!$B$63),SUM($C$4:$AF$4)/Assumptions!$B$63,0)</f>
        <v>-0</v>
      </c>
      <c r="G5" s="16" t="n">
        <f aca="false">-IF(AND(2031&gt;=Assumptions!$B$62,2031&lt;Assumptions!$B$62+Assumptions!$B$63),SUM($C$4:$AF$4)/Assumptions!$B$63,0)</f>
        <v>-0</v>
      </c>
      <c r="H5" s="16" t="n">
        <f aca="false">-IF(AND(2032&gt;=Assumptions!$B$62,2032&lt;Assumptions!$B$62+Assumptions!$B$63),SUM($C$4:$AF$4)/Assumptions!$B$63,0)</f>
        <v>-0</v>
      </c>
      <c r="I5" s="16" t="n">
        <f aca="false">-IF(AND(2033&gt;=Assumptions!$B$62,2033&lt;Assumptions!$B$62+Assumptions!$B$63),SUM($C$4:$AF$4)/Assumptions!$B$63,0)</f>
        <v>-0</v>
      </c>
      <c r="J5" s="16" t="n">
        <f aca="false">-IF(AND(2034&gt;=Assumptions!$B$62,2034&lt;Assumptions!$B$62+Assumptions!$B$63),SUM($C$4:$AF$4)/Assumptions!$B$63,0)</f>
        <v>-58.9285714285714</v>
      </c>
      <c r="K5" s="16" t="n">
        <f aca="false">-IF(AND(2035&gt;=Assumptions!$B$62,2035&lt;Assumptions!$B$62+Assumptions!$B$63),SUM($C$4:$AF$4)/Assumptions!$B$63,0)</f>
        <v>-58.9285714285714</v>
      </c>
      <c r="L5" s="16" t="n">
        <f aca="false">-IF(AND(2036&gt;=Assumptions!$B$62,2036&lt;Assumptions!$B$62+Assumptions!$B$63),SUM($C$4:$AF$4)/Assumptions!$B$63,0)</f>
        <v>-58.9285714285714</v>
      </c>
      <c r="M5" s="16" t="n">
        <f aca="false">-IF(AND(2037&gt;=Assumptions!$B$62,2037&lt;Assumptions!$B$62+Assumptions!$B$63),SUM($C$4:$AF$4)/Assumptions!$B$63,0)</f>
        <v>-58.9285714285714</v>
      </c>
      <c r="N5" s="16" t="n">
        <f aca="false">-IF(AND(2038&gt;=Assumptions!$B$62,2038&lt;Assumptions!$B$62+Assumptions!$B$63),SUM($C$4:$AF$4)/Assumptions!$B$63,0)</f>
        <v>-58.9285714285714</v>
      </c>
      <c r="O5" s="16" t="n">
        <f aca="false">-IF(AND(2039&gt;=Assumptions!$B$62,2039&lt;Assumptions!$B$62+Assumptions!$B$63),SUM($C$4:$AF$4)/Assumptions!$B$63,0)</f>
        <v>-58.9285714285714</v>
      </c>
      <c r="P5" s="16" t="n">
        <f aca="false">-IF(AND(2040&gt;=Assumptions!$B$62,2040&lt;Assumptions!$B$62+Assumptions!$B$63),SUM($C$4:$AF$4)/Assumptions!$B$63,0)</f>
        <v>-58.9285714285714</v>
      </c>
      <c r="Q5" s="16" t="n">
        <f aca="false">-IF(AND(2041&gt;=Assumptions!$B$62,2041&lt;Assumptions!$B$62+Assumptions!$B$63),SUM($C$4:$AF$4)/Assumptions!$B$63,0)</f>
        <v>-58.9285714285714</v>
      </c>
      <c r="R5" s="16" t="n">
        <f aca="false">-IF(AND(2042&gt;=Assumptions!$B$62,2042&lt;Assumptions!$B$62+Assumptions!$B$63),SUM($C$4:$AF$4)/Assumptions!$B$63,0)</f>
        <v>-58.9285714285714</v>
      </c>
      <c r="S5" s="16" t="n">
        <f aca="false">-IF(AND(2043&gt;=Assumptions!$B$62,2043&lt;Assumptions!$B$62+Assumptions!$B$63),SUM($C$4:$AF$4)/Assumptions!$B$63,0)</f>
        <v>-58.9285714285714</v>
      </c>
      <c r="T5" s="16" t="n">
        <f aca="false">-IF(AND(2044&gt;=Assumptions!$B$62,2044&lt;Assumptions!$B$62+Assumptions!$B$63),SUM($C$4:$AF$4)/Assumptions!$B$63,0)</f>
        <v>-58.9285714285714</v>
      </c>
      <c r="U5" s="16" t="n">
        <f aca="false">-IF(AND(2045&gt;=Assumptions!$B$62,2045&lt;Assumptions!$B$62+Assumptions!$B$63),SUM($C$4:$AF$4)/Assumptions!$B$63,0)</f>
        <v>-58.9285714285714</v>
      </c>
      <c r="V5" s="16" t="n">
        <f aca="false">-IF(AND(2046&gt;=Assumptions!$B$62,2046&lt;Assumptions!$B$62+Assumptions!$B$63),SUM($C$4:$AF$4)/Assumptions!$B$63,0)</f>
        <v>-0</v>
      </c>
      <c r="W5" s="16" t="n">
        <f aca="false">-IF(AND(2047&gt;=Assumptions!$B$62,2047&lt;Assumptions!$B$62+Assumptions!$B$63),SUM($C$4:$AF$4)/Assumptions!$B$63,0)</f>
        <v>-0</v>
      </c>
      <c r="X5" s="16" t="n">
        <f aca="false">-IF(AND(2048&gt;=Assumptions!$B$62,2048&lt;Assumptions!$B$62+Assumptions!$B$63),SUM($C$4:$AF$4)/Assumptions!$B$63,0)</f>
        <v>-0</v>
      </c>
      <c r="Y5" s="16" t="n">
        <f aca="false">-IF(AND(2049&gt;=Assumptions!$B$62,2049&lt;Assumptions!$B$62+Assumptions!$B$63),SUM($C$4:$AF$4)/Assumptions!$B$63,0)</f>
        <v>-0</v>
      </c>
      <c r="Z5" s="16" t="n">
        <f aca="false">-IF(AND(2050&gt;=Assumptions!$B$62,2050&lt;Assumptions!$B$62+Assumptions!$B$63),SUM($C$4:$AF$4)/Assumptions!$B$63,0)</f>
        <v>-0</v>
      </c>
      <c r="AA5" s="16" t="n">
        <f aca="false">-IF(AND(2051&gt;=Assumptions!$B$62,2051&lt;Assumptions!$B$62+Assumptions!$B$63),SUM($C$4:$AF$4)/Assumptions!$B$63,0)</f>
        <v>-0</v>
      </c>
      <c r="AB5" s="16" t="n">
        <f aca="false">-IF(AND(2052&gt;=Assumptions!$B$62,2052&lt;Assumptions!$B$62+Assumptions!$B$63),SUM($C$4:$AF$4)/Assumptions!$B$63,0)</f>
        <v>-0</v>
      </c>
      <c r="AC5" s="16" t="n">
        <f aca="false">-IF(AND(2053&gt;=Assumptions!$B$62,2053&lt;Assumptions!$B$62+Assumptions!$B$63),SUM($C$4:$AF$4)/Assumptions!$B$63,0)</f>
        <v>-0</v>
      </c>
      <c r="AD5" s="16" t="n">
        <f aca="false">-IF(AND(2054&gt;=Assumptions!$B$62,2054&lt;Assumptions!$B$62+Assumptions!$B$63),SUM($C$4:$AF$4)/Assumptions!$B$63,0)</f>
        <v>-0</v>
      </c>
      <c r="AE5" s="16" t="n">
        <f aca="false">-IF(AND(2055&gt;=Assumptions!$B$62,2055&lt;Assumptions!$B$62+Assumptions!$B$63),SUM($C$4:$AF$4)/Assumptions!$B$63,0)</f>
        <v>-0</v>
      </c>
      <c r="AF5" s="16" t="n">
        <f aca="false">-IF(AND(2056&gt;=Assumptions!$B$62,2056&lt;Assumptions!$B$62+Assumptions!$B$63),SUM($C$4:$AF$4)/Assumptions!$B$63,0)</f>
        <v>-0</v>
      </c>
    </row>
    <row r="6" customFormat="false" ht="15" hidden="false" customHeight="false" outlineLevel="0" collapsed="false">
      <c r="A6" s="4" t="s">
        <v>166</v>
      </c>
      <c r="B6" s="8"/>
      <c r="C6" s="16" t="n">
        <f aca="false">0</f>
        <v>0</v>
      </c>
      <c r="D6" s="16" t="n">
        <f aca="false">C7</f>
        <v>91.5428571428572</v>
      </c>
      <c r="E6" s="16" t="n">
        <f aca="false">D7</f>
        <v>183.085714285714</v>
      </c>
      <c r="F6" s="16" t="n">
        <f aca="false">E7</f>
        <v>259.2</v>
      </c>
      <c r="G6" s="16" t="n">
        <f aca="false">F7</f>
        <v>335.314285714286</v>
      </c>
      <c r="H6" s="16" t="n">
        <f aca="false">G7</f>
        <v>411.428571428572</v>
      </c>
      <c r="I6" s="16" t="n">
        <f aca="false">H7</f>
        <v>485.357142857143</v>
      </c>
      <c r="J6" s="16" t="n">
        <f aca="false">I7</f>
        <v>559.285714285714</v>
      </c>
      <c r="K6" s="16" t="n">
        <f aca="false">J7</f>
        <v>574.285714285714</v>
      </c>
      <c r="L6" s="16" t="n">
        <f aca="false">K7</f>
        <v>589.285714285714</v>
      </c>
      <c r="M6" s="16" t="n">
        <f aca="false">L7</f>
        <v>530.357142857143</v>
      </c>
      <c r="N6" s="16" t="n">
        <f aca="false">M7</f>
        <v>471.428571428572</v>
      </c>
      <c r="O6" s="16" t="n">
        <f aca="false">N7</f>
        <v>412.5</v>
      </c>
      <c r="P6" s="16" t="n">
        <f aca="false">O7</f>
        <v>353.571428571429</v>
      </c>
      <c r="Q6" s="16" t="n">
        <f aca="false">P7</f>
        <v>294.642857142857</v>
      </c>
      <c r="R6" s="16" t="n">
        <f aca="false">Q7</f>
        <v>235.714285714286</v>
      </c>
      <c r="S6" s="16" t="n">
        <f aca="false">R7</f>
        <v>176.785714285714</v>
      </c>
      <c r="T6" s="16" t="n">
        <f aca="false">S7</f>
        <v>117.857142857143</v>
      </c>
      <c r="U6" s="16" t="n">
        <f aca="false">T7</f>
        <v>58.9285714285715</v>
      </c>
      <c r="V6" s="16" t="n">
        <f aca="false">U7</f>
        <v>0</v>
      </c>
      <c r="W6" s="16" t="n">
        <f aca="false">V7</f>
        <v>0</v>
      </c>
      <c r="X6" s="16" t="n">
        <f aca="false">W7</f>
        <v>0</v>
      </c>
      <c r="Y6" s="16" t="n">
        <f aca="false">X7</f>
        <v>0</v>
      </c>
      <c r="Z6" s="16" t="n">
        <f aca="false">Y7</f>
        <v>0</v>
      </c>
      <c r="AA6" s="16" t="n">
        <f aca="false">Z7</f>
        <v>0</v>
      </c>
      <c r="AB6" s="16" t="n">
        <f aca="false">AA7</f>
        <v>0</v>
      </c>
      <c r="AC6" s="16" t="n">
        <f aca="false">AB7</f>
        <v>0</v>
      </c>
      <c r="AD6" s="16" t="n">
        <f aca="false">AC7</f>
        <v>0</v>
      </c>
      <c r="AE6" s="16" t="n">
        <f aca="false">AD7</f>
        <v>0</v>
      </c>
      <c r="AF6" s="16" t="n">
        <f aca="false">AE7</f>
        <v>0</v>
      </c>
    </row>
    <row r="7" customFormat="false" ht="15" hidden="false" customHeight="false" outlineLevel="0" collapsed="false">
      <c r="A7" s="5" t="s">
        <v>167</v>
      </c>
      <c r="B7" s="8"/>
      <c r="C7" s="20" t="n">
        <f aca="false">C6+C4+C5</f>
        <v>91.5428571428572</v>
      </c>
      <c r="D7" s="20" t="n">
        <f aca="false">D6+D4+D5</f>
        <v>183.085714285714</v>
      </c>
      <c r="E7" s="20" t="n">
        <f aca="false">E6+E4+E5</f>
        <v>259.2</v>
      </c>
      <c r="F7" s="20" t="n">
        <f aca="false">F6+F4+F5</f>
        <v>335.314285714286</v>
      </c>
      <c r="G7" s="20" t="n">
        <f aca="false">G6+G4+G5</f>
        <v>411.428571428572</v>
      </c>
      <c r="H7" s="20" t="n">
        <f aca="false">H6+H4+H5</f>
        <v>485.357142857143</v>
      </c>
      <c r="I7" s="20" t="n">
        <f aca="false">I6+I4+I5</f>
        <v>559.285714285714</v>
      </c>
      <c r="J7" s="20" t="n">
        <f aca="false">J6+J4+J5</f>
        <v>574.285714285714</v>
      </c>
      <c r="K7" s="20" t="n">
        <f aca="false">K6+K4+K5</f>
        <v>589.285714285714</v>
      </c>
      <c r="L7" s="20" t="n">
        <f aca="false">L6+L4+L5</f>
        <v>530.357142857143</v>
      </c>
      <c r="M7" s="20" t="n">
        <f aca="false">M6+M4+M5</f>
        <v>471.428571428572</v>
      </c>
      <c r="N7" s="20" t="n">
        <f aca="false">N6+N4+N5</f>
        <v>412.5</v>
      </c>
      <c r="O7" s="20" t="n">
        <f aca="false">O6+O4+O5</f>
        <v>353.571428571429</v>
      </c>
      <c r="P7" s="20" t="n">
        <f aca="false">P6+P4+P5</f>
        <v>294.642857142857</v>
      </c>
      <c r="Q7" s="20" t="n">
        <f aca="false">Q6+Q4+Q5</f>
        <v>235.714285714286</v>
      </c>
      <c r="R7" s="20" t="n">
        <f aca="false">R6+R4+R5</f>
        <v>176.785714285714</v>
      </c>
      <c r="S7" s="20" t="n">
        <f aca="false">S6+S4+S5</f>
        <v>117.857142857143</v>
      </c>
      <c r="T7" s="20" t="n">
        <f aca="false">T6+T4+T5</f>
        <v>58.9285714285715</v>
      </c>
      <c r="U7" s="20" t="n">
        <f aca="false">U6+U4+U5</f>
        <v>0</v>
      </c>
      <c r="V7" s="20" t="n">
        <f aca="false">V6+V4+V5</f>
        <v>0</v>
      </c>
      <c r="W7" s="20" t="n">
        <f aca="false">W6+W4+W5</f>
        <v>0</v>
      </c>
      <c r="X7" s="20" t="n">
        <f aca="false">X6+X4+X5</f>
        <v>0</v>
      </c>
      <c r="Y7" s="20" t="n">
        <f aca="false">Y6+Y4+Y5</f>
        <v>0</v>
      </c>
      <c r="Z7" s="20" t="n">
        <f aca="false">Z6+Z4+Z5</f>
        <v>0</v>
      </c>
      <c r="AA7" s="20" t="n">
        <f aca="false">AA6+AA4+AA5</f>
        <v>0</v>
      </c>
      <c r="AB7" s="20" t="n">
        <f aca="false">AB6+AB4+AB5</f>
        <v>0</v>
      </c>
      <c r="AC7" s="20" t="n">
        <f aca="false">AC6+AC4+AC5</f>
        <v>0</v>
      </c>
      <c r="AD7" s="20" t="n">
        <f aca="false">AD6+AD4+AD5</f>
        <v>0</v>
      </c>
      <c r="AE7" s="20" t="n">
        <f aca="false">AE6+AE4+AE5</f>
        <v>0</v>
      </c>
      <c r="AF7" s="20" t="n">
        <f aca="false">AF6+AF4+AF5</f>
        <v>0</v>
      </c>
    </row>
    <row r="8" customFormat="false" ht="15" hidden="false" customHeight="false" outlineLevel="0" collapsed="false">
      <c r="A8" s="4" t="s">
        <v>168</v>
      </c>
      <c r="B8" s="8" t="s">
        <v>169</v>
      </c>
      <c r="C8" s="16" t="n">
        <f aca="false">Assumptions!$B$61*C6</f>
        <v>0</v>
      </c>
      <c r="D8" s="16" t="n">
        <f aca="false">Assumptions!$B$61*D6</f>
        <v>7.32342857142857</v>
      </c>
      <c r="E8" s="16" t="n">
        <f aca="false">Assumptions!$B$61*E6</f>
        <v>14.6468571428571</v>
      </c>
      <c r="F8" s="16" t="n">
        <f aca="false">Assumptions!$B$61*F6</f>
        <v>20.736</v>
      </c>
      <c r="G8" s="16" t="n">
        <f aca="false">Assumptions!$B$61*G6</f>
        <v>26.8251428571429</v>
      </c>
      <c r="H8" s="16" t="n">
        <f aca="false">Assumptions!$B$61*H6</f>
        <v>32.9142857142857</v>
      </c>
      <c r="I8" s="16" t="n">
        <f aca="false">Assumptions!$B$61*I6</f>
        <v>38.8285714285714</v>
      </c>
      <c r="J8" s="16" t="n">
        <f aca="false">Assumptions!$B$61*J6</f>
        <v>44.7428571428572</v>
      </c>
      <c r="K8" s="16" t="n">
        <f aca="false">Assumptions!$B$61*K6</f>
        <v>45.9428571428572</v>
      </c>
      <c r="L8" s="16" t="n">
        <f aca="false">Assumptions!$B$61*L6</f>
        <v>47.1428571428572</v>
      </c>
      <c r="M8" s="16" t="n">
        <f aca="false">Assumptions!$B$61*M6</f>
        <v>42.4285714285714</v>
      </c>
      <c r="N8" s="16" t="n">
        <f aca="false">Assumptions!$B$61*N6</f>
        <v>37.7142857142857</v>
      </c>
      <c r="O8" s="16" t="n">
        <f aca="false">Assumptions!$B$61*O6</f>
        <v>33</v>
      </c>
      <c r="P8" s="16" t="n">
        <f aca="false">Assumptions!$B$61*P6</f>
        <v>28.2857142857143</v>
      </c>
      <c r="Q8" s="16" t="n">
        <f aca="false">Assumptions!$B$61*Q6</f>
        <v>23.5714285714286</v>
      </c>
      <c r="R8" s="16" t="n">
        <f aca="false">Assumptions!$B$61*R6</f>
        <v>18.8571428571429</v>
      </c>
      <c r="S8" s="16" t="n">
        <f aca="false">Assumptions!$B$61*S6</f>
        <v>14.1428571428571</v>
      </c>
      <c r="T8" s="16" t="n">
        <f aca="false">Assumptions!$B$61*T6</f>
        <v>9.42857142857143</v>
      </c>
      <c r="U8" s="16" t="n">
        <f aca="false">Assumptions!$B$61*U6</f>
        <v>4.71428571428572</v>
      </c>
      <c r="V8" s="16" t="n">
        <f aca="false">Assumptions!$B$61*V6</f>
        <v>0</v>
      </c>
      <c r="W8" s="16" t="n">
        <f aca="false">Assumptions!$B$61*W6</f>
        <v>0</v>
      </c>
      <c r="X8" s="16" t="n">
        <f aca="false">Assumptions!$B$61*X6</f>
        <v>0</v>
      </c>
      <c r="Y8" s="16" t="n">
        <f aca="false">Assumptions!$B$61*Y6</f>
        <v>0</v>
      </c>
      <c r="Z8" s="16" t="n">
        <f aca="false">Assumptions!$B$61*Z6</f>
        <v>0</v>
      </c>
      <c r="AA8" s="16" t="n">
        <f aca="false">Assumptions!$B$61*AA6</f>
        <v>0</v>
      </c>
      <c r="AB8" s="16" t="n">
        <f aca="false">Assumptions!$B$61*AB6</f>
        <v>0</v>
      </c>
      <c r="AC8" s="16" t="n">
        <f aca="false">Assumptions!$B$61*AC6</f>
        <v>0</v>
      </c>
      <c r="AD8" s="16" t="n">
        <f aca="false">Assumptions!$B$61*AD6</f>
        <v>0</v>
      </c>
      <c r="AE8" s="16" t="n">
        <f aca="false">Assumptions!$B$61*AE6</f>
        <v>0</v>
      </c>
      <c r="AF8" s="16" t="n">
        <f aca="false">Assumptions!$B$61*AF6</f>
        <v>0</v>
      </c>
    </row>
    <row r="10" customFormat="false" ht="15" hidden="false" customHeight="false" outlineLevel="0" collapsed="false">
      <c r="A10" s="4" t="s">
        <v>170</v>
      </c>
      <c r="B10" s="8" t="s">
        <v>171</v>
      </c>
      <c r="C10" s="23" t="n">
        <f aca="false">IF(2027&lt;=Assumptions!$B$4,Assumptions!$B$54*Capex!C9/(1-Assumptions!$B$58),0)</f>
        <v>35.6</v>
      </c>
      <c r="D10" s="23" t="n">
        <f aca="false">IF(2028&lt;=Assumptions!$B$4,Assumptions!$B$54*Capex!D9/(1-Assumptions!$B$58),0)</f>
        <v>35.6</v>
      </c>
      <c r="E10" s="23" t="n">
        <f aca="false">IF(2029&lt;=Assumptions!$B$4,Assumptions!$B$54*Capex!E9/(1-Assumptions!$B$58),0)</f>
        <v>29.6</v>
      </c>
      <c r="F10" s="23" t="n">
        <f aca="false">IF(2030&lt;=Assumptions!$B$4,Assumptions!$B$54*Capex!F9/(1-Assumptions!$B$58),0)</f>
        <v>29.6</v>
      </c>
      <c r="G10" s="23" t="n">
        <f aca="false">IF(2031&lt;=Assumptions!$B$4,Assumptions!$B$54*Capex!G9/(1-Assumptions!$B$58),0)</f>
        <v>29.6</v>
      </c>
      <c r="H10" s="23" t="n">
        <f aca="false">IF(2032&lt;=Assumptions!$B$4,Assumptions!$B$54*Capex!H9/(1-Assumptions!$B$58),0)</f>
        <v>0</v>
      </c>
      <c r="I10" s="23" t="n">
        <f aca="false">IF(2033&lt;=Assumptions!$B$4,Assumptions!$B$54*Capex!I9/(1-Assumptions!$B$58),0)</f>
        <v>0</v>
      </c>
      <c r="J10" s="23" t="n">
        <f aca="false">IF(2034&lt;=Assumptions!$B$4,Assumptions!$B$54*Capex!J9/(1-Assumptions!$B$58),0)</f>
        <v>0</v>
      </c>
      <c r="K10" s="23" t="n">
        <f aca="false">IF(2035&lt;=Assumptions!$B$4,Assumptions!$B$54*Capex!K9/(1-Assumptions!$B$58),0)</f>
        <v>0</v>
      </c>
      <c r="L10" s="23" t="n">
        <f aca="false">IF(2036&lt;=Assumptions!$B$4,Assumptions!$B$54*Capex!L9/(1-Assumptions!$B$58),0)</f>
        <v>0</v>
      </c>
      <c r="M10" s="23" t="n">
        <f aca="false">IF(2037&lt;=Assumptions!$B$4,Assumptions!$B$54*Capex!M9/(1-Assumptions!$B$58),0)</f>
        <v>0</v>
      </c>
      <c r="N10" s="23" t="n">
        <f aca="false">IF(2038&lt;=Assumptions!$B$4,Assumptions!$B$54*Capex!N9/(1-Assumptions!$B$58),0)</f>
        <v>0</v>
      </c>
      <c r="O10" s="23" t="n">
        <f aca="false">IF(2039&lt;=Assumptions!$B$4,Assumptions!$B$54*Capex!O9/(1-Assumptions!$B$58),0)</f>
        <v>0</v>
      </c>
      <c r="P10" s="23" t="n">
        <f aca="false">IF(2040&lt;=Assumptions!$B$4,Assumptions!$B$54*Capex!P9/(1-Assumptions!$B$58),0)</f>
        <v>0</v>
      </c>
      <c r="Q10" s="23" t="n">
        <f aca="false">IF(2041&lt;=Assumptions!$B$4,Assumptions!$B$54*Capex!Q9/(1-Assumptions!$B$58),0)</f>
        <v>0</v>
      </c>
      <c r="R10" s="23" t="n">
        <f aca="false">IF(2042&lt;=Assumptions!$B$4,Assumptions!$B$54*Capex!R9/(1-Assumptions!$B$58),0)</f>
        <v>0</v>
      </c>
      <c r="S10" s="23" t="n">
        <f aca="false">IF(2043&lt;=Assumptions!$B$4,Assumptions!$B$54*Capex!S9/(1-Assumptions!$B$58),0)</f>
        <v>0</v>
      </c>
      <c r="T10" s="23" t="n">
        <f aca="false">IF(2044&lt;=Assumptions!$B$4,Assumptions!$B$54*Capex!T9/(1-Assumptions!$B$58),0)</f>
        <v>0</v>
      </c>
      <c r="U10" s="23" t="n">
        <f aca="false">IF(2045&lt;=Assumptions!$B$4,Assumptions!$B$54*Capex!U9/(1-Assumptions!$B$58),0)</f>
        <v>0</v>
      </c>
      <c r="V10" s="23" t="n">
        <f aca="false">IF(2046&lt;=Assumptions!$B$4,Assumptions!$B$54*Capex!V9/(1-Assumptions!$B$58),0)</f>
        <v>0</v>
      </c>
      <c r="W10" s="23" t="n">
        <f aca="false">IF(2047&lt;=Assumptions!$B$4,Assumptions!$B$54*Capex!W9/(1-Assumptions!$B$58),0)</f>
        <v>0</v>
      </c>
      <c r="X10" s="23" t="n">
        <f aca="false">IF(2048&lt;=Assumptions!$B$4,Assumptions!$B$54*Capex!X9/(1-Assumptions!$B$58),0)</f>
        <v>0</v>
      </c>
      <c r="Y10" s="23" t="n">
        <f aca="false">IF(2049&lt;=Assumptions!$B$4,Assumptions!$B$54*Capex!Y9/(1-Assumptions!$B$58),0)</f>
        <v>0</v>
      </c>
      <c r="Z10" s="23" t="n">
        <f aca="false">IF(2050&lt;=Assumptions!$B$4,Assumptions!$B$54*Capex!Z9/(1-Assumptions!$B$58),0)</f>
        <v>0</v>
      </c>
      <c r="AA10" s="23" t="n">
        <f aca="false">IF(2051&lt;=Assumptions!$B$4,Assumptions!$B$54*Capex!AA9/(1-Assumptions!$B$58),0)</f>
        <v>0</v>
      </c>
      <c r="AB10" s="23" t="n">
        <f aca="false">IF(2052&lt;=Assumptions!$B$4,Assumptions!$B$54*Capex!AB9/(1-Assumptions!$B$58),0)</f>
        <v>0</v>
      </c>
      <c r="AC10" s="23" t="n">
        <f aca="false">IF(2053&lt;=Assumptions!$B$4,Assumptions!$B$54*Capex!AC9/(1-Assumptions!$B$58),0)</f>
        <v>0</v>
      </c>
      <c r="AD10" s="23" t="n">
        <f aca="false">IF(2054&lt;=Assumptions!$B$4,Assumptions!$B$54*Capex!AD9/(1-Assumptions!$B$58),0)</f>
        <v>0</v>
      </c>
      <c r="AE10" s="23" t="n">
        <f aca="false">IF(2055&lt;=Assumptions!$B$4,Assumptions!$B$54*Capex!AE9/(1-Assumptions!$B$58),0)</f>
        <v>0</v>
      </c>
      <c r="AF10" s="23" t="n">
        <f aca="false">IF(2056&lt;=Assumptions!$B$4,Assumptions!$B$54*Capex!AF9/(1-Assumptions!$B$58),0)</f>
        <v>0</v>
      </c>
    </row>
    <row r="11" customFormat="false" ht="15" hidden="false" customHeight="false" outlineLevel="0" collapsed="false">
      <c r="A11" s="4" t="s">
        <v>172</v>
      </c>
      <c r="B11" s="8" t="s">
        <v>173</v>
      </c>
      <c r="C11" s="16" t="n">
        <f aca="false">IF(2027=Assumptions!$B$65,-SUM($C$10:$AF$10),0)</f>
        <v>0</v>
      </c>
      <c r="D11" s="16" t="n">
        <f aca="false">IF(2028=Assumptions!$B$65,-SUM($C$10:$AF$10),0)</f>
        <v>0</v>
      </c>
      <c r="E11" s="16" t="n">
        <f aca="false">IF(2029=Assumptions!$B$65,-SUM($C$10:$AF$10),0)</f>
        <v>0</v>
      </c>
      <c r="F11" s="16" t="n">
        <f aca="false">IF(2030=Assumptions!$B$65,-SUM($C$10:$AF$10),0)</f>
        <v>0</v>
      </c>
      <c r="G11" s="16" t="n">
        <f aca="false">IF(2031=Assumptions!$B$65,-SUM($C$10:$AF$10),0)</f>
        <v>0</v>
      </c>
      <c r="H11" s="16" t="n">
        <f aca="false">IF(2032=Assumptions!$B$65,-SUM($C$10:$AF$10),0)</f>
        <v>0</v>
      </c>
      <c r="I11" s="16" t="n">
        <f aca="false">IF(2033=Assumptions!$B$65,-SUM($C$10:$AF$10),0)</f>
        <v>0</v>
      </c>
      <c r="J11" s="16" t="n">
        <f aca="false">IF(2034=Assumptions!$B$65,-SUM($C$10:$AF$10),0)</f>
        <v>0</v>
      </c>
      <c r="K11" s="16" t="n">
        <f aca="false">IF(2035=Assumptions!$B$65,-SUM($C$10:$AF$10),0)</f>
        <v>0</v>
      </c>
      <c r="L11" s="16" t="n">
        <f aca="false">IF(2036=Assumptions!$B$65,-SUM($C$10:$AF$10),0)</f>
        <v>0</v>
      </c>
      <c r="M11" s="16" t="n">
        <f aca="false">IF(2037=Assumptions!$B$65,-SUM($C$10:$AF$10),0)</f>
        <v>0</v>
      </c>
      <c r="N11" s="16" t="n">
        <f aca="false">IF(2038=Assumptions!$B$65,-SUM($C$10:$AF$10),0)</f>
        <v>0</v>
      </c>
      <c r="O11" s="16" t="n">
        <f aca="false">IF(2039=Assumptions!$B$65,-SUM($C$10:$AF$10),0)</f>
        <v>0</v>
      </c>
      <c r="P11" s="16" t="n">
        <f aca="false">IF(2040=Assumptions!$B$65,-SUM($C$10:$AF$10),0)</f>
        <v>0</v>
      </c>
      <c r="Q11" s="16" t="n">
        <f aca="false">IF(2041=Assumptions!$B$65,-SUM($C$10:$AF$10),0)</f>
        <v>0</v>
      </c>
      <c r="R11" s="16" t="n">
        <f aca="false">IF(2042=Assumptions!$B$65,-SUM($C$10:$AF$10),0)</f>
        <v>-160</v>
      </c>
      <c r="S11" s="16" t="n">
        <f aca="false">IF(2043=Assumptions!$B$65,-SUM($C$10:$AF$10),0)</f>
        <v>0</v>
      </c>
      <c r="T11" s="16" t="n">
        <f aca="false">IF(2044=Assumptions!$B$65,-SUM($C$10:$AF$10),0)</f>
        <v>0</v>
      </c>
      <c r="U11" s="16" t="n">
        <f aca="false">IF(2045=Assumptions!$B$65,-SUM($C$10:$AF$10),0)</f>
        <v>0</v>
      </c>
      <c r="V11" s="16" t="n">
        <f aca="false">IF(2046=Assumptions!$B$65,-SUM($C$10:$AF$10),0)</f>
        <v>0</v>
      </c>
      <c r="W11" s="16" t="n">
        <f aca="false">IF(2047=Assumptions!$B$65,-SUM($C$10:$AF$10),0)</f>
        <v>0</v>
      </c>
      <c r="X11" s="16" t="n">
        <f aca="false">IF(2048=Assumptions!$B$65,-SUM($C$10:$AF$10),0)</f>
        <v>0</v>
      </c>
      <c r="Y11" s="16" t="n">
        <f aca="false">IF(2049=Assumptions!$B$65,-SUM($C$10:$AF$10),0)</f>
        <v>0</v>
      </c>
      <c r="Z11" s="16" t="n">
        <f aca="false">IF(2050=Assumptions!$B$65,-SUM($C$10:$AF$10),0)</f>
        <v>0</v>
      </c>
      <c r="AA11" s="16" t="n">
        <f aca="false">IF(2051=Assumptions!$B$65,-SUM($C$10:$AF$10),0)</f>
        <v>0</v>
      </c>
      <c r="AB11" s="16" t="n">
        <f aca="false">IF(2052=Assumptions!$B$65,-SUM($C$10:$AF$10),0)</f>
        <v>0</v>
      </c>
      <c r="AC11" s="16" t="n">
        <f aca="false">IF(2053=Assumptions!$B$65,-SUM($C$10:$AF$10),0)</f>
        <v>0</v>
      </c>
      <c r="AD11" s="16" t="n">
        <f aca="false">IF(2054=Assumptions!$B$65,-SUM($C$10:$AF$10),0)</f>
        <v>0</v>
      </c>
      <c r="AE11" s="16" t="n">
        <f aca="false">IF(2055=Assumptions!$B$65,-SUM($C$10:$AF$10),0)</f>
        <v>0</v>
      </c>
      <c r="AF11" s="16" t="n">
        <f aca="false">IF(2056=Assumptions!$B$65,-SUM($C$10:$AF$10),0)</f>
        <v>0</v>
      </c>
    </row>
    <row r="12" customFormat="false" ht="15" hidden="false" customHeight="false" outlineLevel="0" collapsed="false">
      <c r="A12" s="4" t="s">
        <v>174</v>
      </c>
      <c r="B12" s="8"/>
      <c r="C12" s="16" t="n">
        <f aca="false">0</f>
        <v>0</v>
      </c>
      <c r="D12" s="16" t="n">
        <f aca="false">C13</f>
        <v>35.6</v>
      </c>
      <c r="E12" s="16" t="n">
        <f aca="false">D13</f>
        <v>71.2</v>
      </c>
      <c r="F12" s="16" t="n">
        <f aca="false">E13</f>
        <v>100.8</v>
      </c>
      <c r="G12" s="16" t="n">
        <f aca="false">F13</f>
        <v>130.4</v>
      </c>
      <c r="H12" s="16" t="n">
        <f aca="false">G13</f>
        <v>160</v>
      </c>
      <c r="I12" s="16" t="n">
        <f aca="false">H13</f>
        <v>160</v>
      </c>
      <c r="J12" s="16" t="n">
        <f aca="false">I13</f>
        <v>160</v>
      </c>
      <c r="K12" s="16" t="n">
        <f aca="false">J13</f>
        <v>160</v>
      </c>
      <c r="L12" s="16" t="n">
        <f aca="false">K13</f>
        <v>160</v>
      </c>
      <c r="M12" s="16" t="n">
        <f aca="false">L13</f>
        <v>160</v>
      </c>
      <c r="N12" s="16" t="n">
        <f aca="false">M13</f>
        <v>160</v>
      </c>
      <c r="O12" s="16" t="n">
        <f aca="false">N13</f>
        <v>160</v>
      </c>
      <c r="P12" s="16" t="n">
        <f aca="false">O13</f>
        <v>160</v>
      </c>
      <c r="Q12" s="16" t="n">
        <f aca="false">P13</f>
        <v>160</v>
      </c>
      <c r="R12" s="16" t="n">
        <f aca="false">Q13</f>
        <v>160</v>
      </c>
      <c r="S12" s="16" t="n">
        <f aca="false">R13</f>
        <v>0</v>
      </c>
      <c r="T12" s="16" t="n">
        <f aca="false">S13</f>
        <v>0</v>
      </c>
      <c r="U12" s="16" t="n">
        <f aca="false">T13</f>
        <v>0</v>
      </c>
      <c r="V12" s="16" t="n">
        <f aca="false">U13</f>
        <v>0</v>
      </c>
      <c r="W12" s="16" t="n">
        <f aca="false">V13</f>
        <v>0</v>
      </c>
      <c r="X12" s="16" t="n">
        <f aca="false">W13</f>
        <v>0</v>
      </c>
      <c r="Y12" s="16" t="n">
        <f aca="false">X13</f>
        <v>0</v>
      </c>
      <c r="Z12" s="16" t="n">
        <f aca="false">Y13</f>
        <v>0</v>
      </c>
      <c r="AA12" s="16" t="n">
        <f aca="false">Z13</f>
        <v>0</v>
      </c>
      <c r="AB12" s="16" t="n">
        <f aca="false">AA13</f>
        <v>0</v>
      </c>
      <c r="AC12" s="16" t="n">
        <f aca="false">AB13</f>
        <v>0</v>
      </c>
      <c r="AD12" s="16" t="n">
        <f aca="false">AC13</f>
        <v>0</v>
      </c>
      <c r="AE12" s="16" t="n">
        <f aca="false">AD13</f>
        <v>0</v>
      </c>
      <c r="AF12" s="16" t="n">
        <f aca="false">AE13</f>
        <v>0</v>
      </c>
    </row>
    <row r="13" customFormat="false" ht="15" hidden="false" customHeight="false" outlineLevel="0" collapsed="false">
      <c r="A13" s="5" t="s">
        <v>175</v>
      </c>
      <c r="B13" s="8"/>
      <c r="C13" s="20" t="n">
        <f aca="false">C12+C10+C11</f>
        <v>35.6</v>
      </c>
      <c r="D13" s="20" t="n">
        <f aca="false">D12+D10+D11</f>
        <v>71.2</v>
      </c>
      <c r="E13" s="20" t="n">
        <f aca="false">E12+E10+E11</f>
        <v>100.8</v>
      </c>
      <c r="F13" s="20" t="n">
        <f aca="false">F12+F10+F11</f>
        <v>130.4</v>
      </c>
      <c r="G13" s="20" t="n">
        <f aca="false">G12+G10+G11</f>
        <v>160</v>
      </c>
      <c r="H13" s="20" t="n">
        <f aca="false">H12+H10+H11</f>
        <v>160</v>
      </c>
      <c r="I13" s="20" t="n">
        <f aca="false">I12+I10+I11</f>
        <v>160</v>
      </c>
      <c r="J13" s="20" t="n">
        <f aca="false">J12+J10+J11</f>
        <v>160</v>
      </c>
      <c r="K13" s="20" t="n">
        <f aca="false">K12+K10+K11</f>
        <v>160</v>
      </c>
      <c r="L13" s="20" t="n">
        <f aca="false">L12+L10+L11</f>
        <v>160</v>
      </c>
      <c r="M13" s="20" t="n">
        <f aca="false">M12+M10+M11</f>
        <v>160</v>
      </c>
      <c r="N13" s="20" t="n">
        <f aca="false">N12+N10+N11</f>
        <v>160</v>
      </c>
      <c r="O13" s="20" t="n">
        <f aca="false">O12+O10+O11</f>
        <v>160</v>
      </c>
      <c r="P13" s="20" t="n">
        <f aca="false">P12+P10+P11</f>
        <v>160</v>
      </c>
      <c r="Q13" s="20" t="n">
        <f aca="false">Q12+Q10+Q11</f>
        <v>160</v>
      </c>
      <c r="R13" s="20" t="n">
        <f aca="false">R12+R10+R11</f>
        <v>0</v>
      </c>
      <c r="S13" s="20" t="n">
        <f aca="false">S12+S10+S11</f>
        <v>0</v>
      </c>
      <c r="T13" s="20" t="n">
        <f aca="false">T12+T10+T11</f>
        <v>0</v>
      </c>
      <c r="U13" s="20" t="n">
        <f aca="false">U12+U10+U11</f>
        <v>0</v>
      </c>
      <c r="V13" s="20" t="n">
        <f aca="false">V12+V10+V11</f>
        <v>0</v>
      </c>
      <c r="W13" s="20" t="n">
        <f aca="false">W12+W10+W11</f>
        <v>0</v>
      </c>
      <c r="X13" s="20" t="n">
        <f aca="false">X12+X10+X11</f>
        <v>0</v>
      </c>
      <c r="Y13" s="20" t="n">
        <f aca="false">Y12+Y10+Y11</f>
        <v>0</v>
      </c>
      <c r="Z13" s="20" t="n">
        <f aca="false">Z12+Z10+Z11</f>
        <v>0</v>
      </c>
      <c r="AA13" s="20" t="n">
        <f aca="false">AA12+AA10+AA11</f>
        <v>0</v>
      </c>
      <c r="AB13" s="20" t="n">
        <f aca="false">AB12+AB10+AB11</f>
        <v>0</v>
      </c>
      <c r="AC13" s="20" t="n">
        <f aca="false">AC12+AC10+AC11</f>
        <v>0</v>
      </c>
      <c r="AD13" s="20" t="n">
        <f aca="false">AD12+AD10+AD11</f>
        <v>0</v>
      </c>
      <c r="AE13" s="20" t="n">
        <f aca="false">AE12+AE10+AE11</f>
        <v>0</v>
      </c>
      <c r="AF13" s="20" t="n">
        <f aca="false">AF12+AF10+AF11</f>
        <v>0</v>
      </c>
    </row>
    <row r="14" customFormat="false" ht="15" hidden="false" customHeight="false" outlineLevel="0" collapsed="false">
      <c r="A14" s="4" t="s">
        <v>176</v>
      </c>
      <c r="B14" s="8"/>
      <c r="C14" s="16" t="n">
        <f aca="false">Assumptions!$B$64*C12</f>
        <v>0</v>
      </c>
      <c r="D14" s="16" t="n">
        <f aca="false">Assumptions!$B$64*D12</f>
        <v>2.492</v>
      </c>
      <c r="E14" s="16" t="n">
        <f aca="false">Assumptions!$B$64*E12</f>
        <v>4.984</v>
      </c>
      <c r="F14" s="16" t="n">
        <f aca="false">Assumptions!$B$64*F12</f>
        <v>7.056</v>
      </c>
      <c r="G14" s="16" t="n">
        <f aca="false">Assumptions!$B$64*G12</f>
        <v>9.128</v>
      </c>
      <c r="H14" s="16" t="n">
        <f aca="false">Assumptions!$B$64*H12</f>
        <v>11.2</v>
      </c>
      <c r="I14" s="16" t="n">
        <f aca="false">Assumptions!$B$64*I12</f>
        <v>11.2</v>
      </c>
      <c r="J14" s="16" t="n">
        <f aca="false">Assumptions!$B$64*J12</f>
        <v>11.2</v>
      </c>
      <c r="K14" s="16" t="n">
        <f aca="false">Assumptions!$B$64*K12</f>
        <v>11.2</v>
      </c>
      <c r="L14" s="16" t="n">
        <f aca="false">Assumptions!$B$64*L12</f>
        <v>11.2</v>
      </c>
      <c r="M14" s="16" t="n">
        <f aca="false">Assumptions!$B$64*M12</f>
        <v>11.2</v>
      </c>
      <c r="N14" s="16" t="n">
        <f aca="false">Assumptions!$B$64*N12</f>
        <v>11.2</v>
      </c>
      <c r="O14" s="16" t="n">
        <f aca="false">Assumptions!$B$64*O12</f>
        <v>11.2</v>
      </c>
      <c r="P14" s="16" t="n">
        <f aca="false">Assumptions!$B$64*P12</f>
        <v>11.2</v>
      </c>
      <c r="Q14" s="16" t="n">
        <f aca="false">Assumptions!$B$64*Q12</f>
        <v>11.2</v>
      </c>
      <c r="R14" s="16" t="n">
        <f aca="false">Assumptions!$B$64*R12</f>
        <v>11.2</v>
      </c>
      <c r="S14" s="16" t="n">
        <f aca="false">Assumptions!$B$64*S12</f>
        <v>0</v>
      </c>
      <c r="T14" s="16" t="n">
        <f aca="false">Assumptions!$B$64*T12</f>
        <v>0</v>
      </c>
      <c r="U14" s="16" t="n">
        <f aca="false">Assumptions!$B$64*U12</f>
        <v>0</v>
      </c>
      <c r="V14" s="16" t="n">
        <f aca="false">Assumptions!$B$64*V12</f>
        <v>0</v>
      </c>
      <c r="W14" s="16" t="n">
        <f aca="false">Assumptions!$B$64*W12</f>
        <v>0</v>
      </c>
      <c r="X14" s="16" t="n">
        <f aca="false">Assumptions!$B$64*X12</f>
        <v>0</v>
      </c>
      <c r="Y14" s="16" t="n">
        <f aca="false">Assumptions!$B$64*Y12</f>
        <v>0</v>
      </c>
      <c r="Z14" s="16" t="n">
        <f aca="false">Assumptions!$B$64*Z12</f>
        <v>0</v>
      </c>
      <c r="AA14" s="16" t="n">
        <f aca="false">Assumptions!$B$64*AA12</f>
        <v>0</v>
      </c>
      <c r="AB14" s="16" t="n">
        <f aca="false">Assumptions!$B$64*AB12</f>
        <v>0</v>
      </c>
      <c r="AC14" s="16" t="n">
        <f aca="false">Assumptions!$B$64*AC12</f>
        <v>0</v>
      </c>
      <c r="AD14" s="16" t="n">
        <f aca="false">Assumptions!$B$64*AD12</f>
        <v>0</v>
      </c>
      <c r="AE14" s="16" t="n">
        <f aca="false">Assumptions!$B$64*AE12</f>
        <v>0</v>
      </c>
      <c r="AF14" s="16" t="n">
        <f aca="false">Assumptions!$B$64*AF12</f>
        <v>0</v>
      </c>
    </row>
    <row r="16" customFormat="false" ht="15" hidden="false" customHeight="false" outlineLevel="0" collapsed="false">
      <c r="A16" s="4" t="s">
        <v>177</v>
      </c>
      <c r="B16" s="8" t="s">
        <v>178</v>
      </c>
      <c r="C16" s="23" t="n">
        <f aca="false">IF(2027&lt;=Assumptions!$B$5+3,(Assumptions!$B$53+Assumptions!$B$55)*Capex!C9/(1-Assumptions!$B$58),0)</f>
        <v>50.8571428571429</v>
      </c>
      <c r="D16" s="23" t="n">
        <f aca="false">IF(2028&lt;=Assumptions!$B$5+3,(Assumptions!$B$53+Assumptions!$B$55)*Capex!D9/(1-Assumptions!$B$58),0)</f>
        <v>50.8571428571429</v>
      </c>
      <c r="E16" s="23" t="n">
        <f aca="false">IF(2029&lt;=Assumptions!$B$5+3,(Assumptions!$B$53+Assumptions!$B$55)*Capex!E9/(1-Assumptions!$B$58),0)</f>
        <v>42.2857142857143</v>
      </c>
      <c r="F16" s="23" t="n">
        <f aca="false">IF(2030&lt;=Assumptions!$B$5+3,(Assumptions!$B$53+Assumptions!$B$55)*Capex!F9/(1-Assumptions!$B$58),0)</f>
        <v>42.2857142857143</v>
      </c>
      <c r="G16" s="23" t="n">
        <f aca="false">IF(2031&lt;=Assumptions!$B$5+3,(Assumptions!$B$53+Assumptions!$B$55)*Capex!G9/(1-Assumptions!$B$58),0)</f>
        <v>42.2857142857143</v>
      </c>
      <c r="H16" s="23" t="n">
        <f aca="false">IF(2032&lt;=Assumptions!$B$5+3,(Assumptions!$B$53+Assumptions!$B$55)*Capex!H9/(1-Assumptions!$B$58),0)</f>
        <v>41.0714285714286</v>
      </c>
      <c r="I16" s="23" t="n">
        <f aca="false">IF(2033&lt;=Assumptions!$B$5+3,(Assumptions!$B$53+Assumptions!$B$55)*Capex!I9/(1-Assumptions!$B$58),0)</f>
        <v>41.0714285714286</v>
      </c>
      <c r="J16" s="23" t="n">
        <f aca="false">IF(2034&lt;=Assumptions!$B$5+3,(Assumptions!$B$53+Assumptions!$B$55)*Capex!J9/(1-Assumptions!$B$58),0)</f>
        <v>41.0714285714286</v>
      </c>
      <c r="K16" s="23" t="n">
        <f aca="false">IF(2035&lt;=Assumptions!$B$5+3,(Assumptions!$B$53+Assumptions!$B$55)*Capex!K9/(1-Assumptions!$B$58),0)</f>
        <v>41.0714285714286</v>
      </c>
      <c r="L16" s="23" t="n">
        <f aca="false">IF(2036&lt;=Assumptions!$B$5+3,(Assumptions!$B$53+Assumptions!$B$55)*Capex!L9/(1-Assumptions!$B$58),0)</f>
        <v>30.3571428571429</v>
      </c>
      <c r="M16" s="23" t="n">
        <f aca="false">IF(2037&lt;=Assumptions!$B$5+3,(Assumptions!$B$53+Assumptions!$B$55)*Capex!M9/(1-Assumptions!$B$58),0)</f>
        <v>30.3571428571429</v>
      </c>
      <c r="N16" s="23" t="n">
        <f aca="false">IF(2038&lt;=Assumptions!$B$5+3,(Assumptions!$B$53+Assumptions!$B$55)*Capex!N9/(1-Assumptions!$B$58),0)</f>
        <v>30.3571428571429</v>
      </c>
      <c r="O16" s="23" t="n">
        <f aca="false">IF(2039&lt;=Assumptions!$B$5+3,(Assumptions!$B$53+Assumptions!$B$55)*Capex!O9/(1-Assumptions!$B$58),0)</f>
        <v>30.3571428571429</v>
      </c>
      <c r="P16" s="23" t="n">
        <f aca="false">IF(2040&lt;=Assumptions!$B$5+3,(Assumptions!$B$53+Assumptions!$B$55)*Capex!P9/(1-Assumptions!$B$58),0)</f>
        <v>0</v>
      </c>
      <c r="Q16" s="23" t="n">
        <f aca="false">IF(2041&lt;=Assumptions!$B$5+3,(Assumptions!$B$53+Assumptions!$B$55)*Capex!Q9/(1-Assumptions!$B$58),0)</f>
        <v>0</v>
      </c>
      <c r="R16" s="23" t="n">
        <f aca="false">IF(2042&lt;=Assumptions!$B$5+3,(Assumptions!$B$53+Assumptions!$B$55)*Capex!R9/(1-Assumptions!$B$58),0)</f>
        <v>0</v>
      </c>
      <c r="S16" s="23" t="n">
        <f aca="false">IF(2043&lt;=Assumptions!$B$5+3,(Assumptions!$B$53+Assumptions!$B$55)*Capex!S9/(1-Assumptions!$B$58),0)</f>
        <v>0</v>
      </c>
      <c r="T16" s="23" t="n">
        <f aca="false">IF(2044&lt;=Assumptions!$B$5+3,(Assumptions!$B$53+Assumptions!$B$55)*Capex!T9/(1-Assumptions!$B$58),0)</f>
        <v>0</v>
      </c>
      <c r="U16" s="23" t="n">
        <f aca="false">IF(2045&lt;=Assumptions!$B$5+3,(Assumptions!$B$53+Assumptions!$B$55)*Capex!U9/(1-Assumptions!$B$58),0)</f>
        <v>0</v>
      </c>
      <c r="V16" s="23" t="n">
        <f aca="false">IF(2046&lt;=Assumptions!$B$5+3,(Assumptions!$B$53+Assumptions!$B$55)*Capex!V9/(1-Assumptions!$B$58),0)</f>
        <v>0</v>
      </c>
      <c r="W16" s="23" t="n">
        <f aca="false">IF(2047&lt;=Assumptions!$B$5+3,(Assumptions!$B$53+Assumptions!$B$55)*Capex!W9/(1-Assumptions!$B$58),0)</f>
        <v>0</v>
      </c>
      <c r="X16" s="23" t="n">
        <f aca="false">IF(2048&lt;=Assumptions!$B$5+3,(Assumptions!$B$53+Assumptions!$B$55)*Capex!X9/(1-Assumptions!$B$58),0)</f>
        <v>0</v>
      </c>
      <c r="Y16" s="23" t="n">
        <f aca="false">IF(2049&lt;=Assumptions!$B$5+3,(Assumptions!$B$53+Assumptions!$B$55)*Capex!Y9/(1-Assumptions!$B$58),0)</f>
        <v>0</v>
      </c>
      <c r="Z16" s="23" t="n">
        <f aca="false">IF(2050&lt;=Assumptions!$B$5+3,(Assumptions!$B$53+Assumptions!$B$55)*Capex!Z9/(1-Assumptions!$B$58),0)</f>
        <v>0</v>
      </c>
      <c r="AA16" s="23" t="n">
        <f aca="false">IF(2051&lt;=Assumptions!$B$5+3,(Assumptions!$B$53+Assumptions!$B$55)*Capex!AA9/(1-Assumptions!$B$58),0)</f>
        <v>0</v>
      </c>
      <c r="AB16" s="23" t="n">
        <f aca="false">IF(2052&lt;=Assumptions!$B$5+3,(Assumptions!$B$53+Assumptions!$B$55)*Capex!AB9/(1-Assumptions!$B$58),0)</f>
        <v>0</v>
      </c>
      <c r="AC16" s="23" t="n">
        <f aca="false">IF(2053&lt;=Assumptions!$B$5+3,(Assumptions!$B$53+Assumptions!$B$55)*Capex!AC9/(1-Assumptions!$B$58),0)</f>
        <v>0</v>
      </c>
      <c r="AD16" s="23" t="n">
        <f aca="false">IF(2054&lt;=Assumptions!$B$5+3,(Assumptions!$B$53+Assumptions!$B$55)*Capex!AD9/(1-Assumptions!$B$58),0)</f>
        <v>0</v>
      </c>
      <c r="AE16" s="23" t="n">
        <f aca="false">IF(2055&lt;=Assumptions!$B$5+3,(Assumptions!$B$53+Assumptions!$B$55)*Capex!AE9/(1-Assumptions!$B$58),0)</f>
        <v>0</v>
      </c>
      <c r="AF16" s="23" t="n">
        <f aca="false">IF(2056&lt;=Assumptions!$B$5+3,(Assumptions!$B$53+Assumptions!$B$55)*Capex!AF9/(1-Assumptions!$B$58),0)</f>
        <v>0</v>
      </c>
    </row>
    <row r="19" customFormat="false" ht="15" hidden="false" customHeight="false" outlineLevel="0" collapsed="false">
      <c r="A19" s="5" t="s">
        <v>179</v>
      </c>
    </row>
    <row r="20" customFormat="false" ht="15" hidden="false" customHeight="false" outlineLevel="0" collapsed="false">
      <c r="A20" s="14" t="s">
        <v>180</v>
      </c>
      <c r="B20" s="14" t="s">
        <v>181</v>
      </c>
      <c r="C20" s="14" t="s">
        <v>182</v>
      </c>
    </row>
    <row r="21" customFormat="false" ht="15" hidden="false" customHeight="false" outlineLevel="0" collapsed="false">
      <c r="A21" s="4" t="s">
        <v>57</v>
      </c>
      <c r="B21" s="24" t="n">
        <f aca="false">Assumptions!$B$53</f>
        <v>0.125</v>
      </c>
      <c r="C21" s="16" t="n">
        <f aca="false">B21*(Assumptions!$B$45+Assumptions!$B$46+Assumptions!$B$47+Assumptions!$B$48)/(1-Assumptions!$B$58)</f>
        <v>257.142857142857</v>
      </c>
    </row>
    <row r="22" customFormat="false" ht="15" hidden="false" customHeight="false" outlineLevel="0" collapsed="false">
      <c r="A22" s="4" t="s">
        <v>58</v>
      </c>
      <c r="B22" s="24" t="n">
        <f aca="false">Assumptions!$B$54</f>
        <v>0.175</v>
      </c>
      <c r="C22" s="16" t="n">
        <f aca="false">B22*(Assumptions!$B$45+Assumptions!$B$46+Assumptions!$B$47+Assumptions!$B$48)/(1-Assumptions!$B$58)</f>
        <v>360</v>
      </c>
    </row>
    <row r="23" customFormat="false" ht="15" hidden="false" customHeight="false" outlineLevel="0" collapsed="false">
      <c r="A23" s="4" t="s">
        <v>59</v>
      </c>
      <c r="B23" s="24" t="n">
        <f aca="false">Assumptions!$B$55</f>
        <v>0.125</v>
      </c>
      <c r="C23" s="16" t="n">
        <f aca="false">B23*(Assumptions!$B$45+Assumptions!$B$46+Assumptions!$B$47+Assumptions!$B$48)/(1-Assumptions!$B$58)</f>
        <v>257.142857142857</v>
      </c>
    </row>
    <row r="24" customFormat="false" ht="15" hidden="false" customHeight="false" outlineLevel="0" collapsed="false">
      <c r="A24" s="4" t="s">
        <v>60</v>
      </c>
      <c r="B24" s="24" t="n">
        <f aca="false">Assumptions!$B$56</f>
        <v>0.225</v>
      </c>
      <c r="C24" s="16" t="n">
        <f aca="false">B24*(Assumptions!$B$45+Assumptions!$B$46+Assumptions!$B$47+Assumptions!$B$48)/(1-Assumptions!$B$58)</f>
        <v>462.857142857143</v>
      </c>
    </row>
    <row r="25" customFormat="false" ht="15" hidden="false" customHeight="false" outlineLevel="0" collapsed="false">
      <c r="A25" s="4" t="s">
        <v>61</v>
      </c>
      <c r="B25" s="24" t="n">
        <f aca="false">Assumptions!$B$57</f>
        <v>0.225</v>
      </c>
      <c r="C25" s="16" t="n">
        <f aca="false">B25*(Assumptions!$B$45+Assumptions!$B$46+Assumptions!$B$47+Assumptions!$B$48)/(1-Assumptions!$B$58)</f>
        <v>462.857142857143</v>
      </c>
    </row>
    <row r="26" customFormat="false" ht="15" hidden="false" customHeight="false" outlineLevel="0" collapsed="false">
      <c r="A26" s="4" t="s">
        <v>183</v>
      </c>
      <c r="B26" s="24" t="n">
        <f aca="false">Assumptions!$B$58</f>
        <v>0.125</v>
      </c>
      <c r="C26" s="16" t="n">
        <f aca="false">B26*(Assumptions!$B$45+Assumptions!$B$46+Assumptions!$B$47+Assumptions!$B$48)/(1-Assumptions!$B$58)</f>
        <v>257.142857142857</v>
      </c>
    </row>
    <row r="27" customFormat="false" ht="15" hidden="false" customHeight="false" outlineLevel="0" collapsed="false">
      <c r="A27" s="5" t="s">
        <v>184</v>
      </c>
      <c r="B27" s="25" t="n">
        <f aca="false">SUM(B21:B26)</f>
        <v>1</v>
      </c>
      <c r="C27" s="20" t="n">
        <f aca="false">SUM(C21:C26)</f>
        <v>2057.14285714286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185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152</v>
      </c>
      <c r="B4" s="8"/>
      <c r="C4" s="23" t="n">
        <f aca="false">'P&amp;L'!C6</f>
        <v>-2.67</v>
      </c>
      <c r="D4" s="23" t="n">
        <f aca="false">'P&amp;L'!D6</f>
        <v>-5.34</v>
      </c>
      <c r="E4" s="23" t="n">
        <f aca="false">'P&amp;L'!E6</f>
        <v>-7.56</v>
      </c>
      <c r="F4" s="23" t="n">
        <f aca="false">'P&amp;L'!F6</f>
        <v>-9.78</v>
      </c>
      <c r="G4" s="23" t="n">
        <f aca="false">'P&amp;L'!G6</f>
        <v>10.248</v>
      </c>
      <c r="H4" s="23" t="n">
        <f aca="false">'P&amp;L'!H6</f>
        <v>50.562429</v>
      </c>
      <c r="I4" s="23" t="n">
        <f aca="false">'P&amp;L'!I6</f>
        <v>55.289573835</v>
      </c>
      <c r="J4" s="23" t="n">
        <f aca="false">'P&amp;L'!J6</f>
        <v>71.6047732777762</v>
      </c>
      <c r="K4" s="23" t="n">
        <f aca="false">'P&amp;L'!K6</f>
        <v>78.4580989482785</v>
      </c>
      <c r="L4" s="23" t="n">
        <f aca="false">'P&amp;L'!L6</f>
        <v>166.854363640706</v>
      </c>
      <c r="M4" s="23" t="n">
        <f aca="false">'P&amp;L'!M6</f>
        <v>182.29049609485</v>
      </c>
      <c r="N4" s="23" t="n">
        <f aca="false">'P&amp;L'!N6</f>
        <v>192.855257994171</v>
      </c>
      <c r="O4" s="23" t="n">
        <f aca="false">'P&amp;L'!O6</f>
        <v>204.532340448004</v>
      </c>
      <c r="P4" s="23" t="n">
        <f aca="false">'P&amp;L'!P6</f>
        <v>219.068663803562</v>
      </c>
      <c r="Q4" s="23" t="n">
        <f aca="false">'P&amp;L'!Q6</f>
        <v>235.06534745284</v>
      </c>
      <c r="R4" s="23" t="n">
        <f aca="false">'P&amp;L'!R6</f>
        <v>249.71330183346</v>
      </c>
      <c r="S4" s="23" t="n">
        <f aca="false">'P&amp;L'!S6</f>
        <v>262.356036123386</v>
      </c>
      <c r="T4" s="23" t="n">
        <f aca="false">'P&amp;L'!T6</f>
        <v>275.659171489571</v>
      </c>
      <c r="U4" s="23" t="n">
        <f aca="false">'P&amp;L'!U6</f>
        <v>289.660020024329</v>
      </c>
      <c r="V4" s="23" t="n">
        <f aca="false">'P&amp;L'!V6</f>
        <v>304.398190708274</v>
      </c>
      <c r="W4" s="23" t="n">
        <f aca="false">'P&amp;L'!W6</f>
        <v>319.915740457675</v>
      </c>
      <c r="X4" s="23" t="n">
        <f aca="false">'P&amp;L'!X6</f>
        <v>336.257335589486</v>
      </c>
      <c r="Y4" s="23" t="n">
        <f aca="false">'P&amp;L'!Y6</f>
        <v>353.470424447151</v>
      </c>
      <c r="Z4" s="23" t="n">
        <f aca="false">'P&amp;L'!Z6</f>
        <v>371.605421984525</v>
      </c>
      <c r="AA4" s="23" t="n">
        <f aca="false">'P&amp;L'!AA6</f>
        <v>390.71590716363</v>
      </c>
      <c r="AB4" s="23" t="n">
        <f aca="false">'P&amp;L'!AB6</f>
        <v>410.858834084595</v>
      </c>
      <c r="AC4" s="23" t="n">
        <f aca="false">'P&amp;L'!AC6</f>
        <v>432.094757833486</v>
      </c>
      <c r="AD4" s="23" t="n">
        <f aca="false">'P&amp;L'!AD6</f>
        <v>454.488076106082</v>
      </c>
      <c r="AE4" s="23" t="n">
        <f aca="false">'P&amp;L'!AE6</f>
        <v>478.10728774342</v>
      </c>
      <c r="AF4" s="23" t="n">
        <f aca="false">'P&amp;L'!AF6</f>
        <v>503.025269398485</v>
      </c>
    </row>
    <row r="5" customFormat="false" ht="15" hidden="false" customHeight="false" outlineLevel="0" collapsed="false">
      <c r="A5" s="4" t="s">
        <v>186</v>
      </c>
      <c r="B5" s="8"/>
      <c r="C5" s="23" t="n">
        <f aca="false">'P&amp;L'!C12</f>
        <v>0</v>
      </c>
      <c r="D5" s="23" t="n">
        <f aca="false">'P&amp;L'!D12</f>
        <v>0</v>
      </c>
      <c r="E5" s="23" t="n">
        <f aca="false">'P&amp;L'!E12</f>
        <v>0</v>
      </c>
      <c r="F5" s="23" t="n">
        <f aca="false">'P&amp;L'!F12</f>
        <v>0</v>
      </c>
      <c r="G5" s="23" t="n">
        <f aca="false">'P&amp;L'!G12</f>
        <v>0</v>
      </c>
      <c r="H5" s="23" t="n">
        <f aca="false">'P&amp;L'!H12</f>
        <v>0</v>
      </c>
      <c r="I5" s="23" t="n">
        <f aca="false">'P&amp;L'!I12</f>
        <v>0</v>
      </c>
      <c r="J5" s="23" t="n">
        <f aca="false">'P&amp;L'!J12</f>
        <v>0</v>
      </c>
      <c r="K5" s="23" t="n">
        <f aca="false">'P&amp;L'!K12</f>
        <v>0</v>
      </c>
      <c r="L5" s="23" t="n">
        <f aca="false">'P&amp;L'!L12</f>
        <v>-14.1259519493545</v>
      </c>
      <c r="M5" s="23" t="n">
        <f aca="false">'P&amp;L'!M12</f>
        <v>-18.7183273998837</v>
      </c>
      <c r="N5" s="23" t="n">
        <f aca="false">'P&amp;L'!N12</f>
        <v>-21.8365416839655</v>
      </c>
      <c r="O5" s="23" t="n">
        <f aca="false">'P&amp;L'!O12</f>
        <v>-25.2757021344013</v>
      </c>
      <c r="P5" s="23" t="n">
        <f aca="false">'P&amp;L'!P12</f>
        <v>-30.8348848553542</v>
      </c>
      <c r="Q5" s="23" t="n">
        <f aca="false">'P&amp;L'!Q12</f>
        <v>-36.8321756644235</v>
      </c>
      <c r="R5" s="23" t="n">
        <f aca="false">'P&amp;L'!R12</f>
        <v>-42.424847692895</v>
      </c>
      <c r="S5" s="23" t="n">
        <f aca="false">'P&amp;L'!S12</f>
        <v>-50.7759536941587</v>
      </c>
      <c r="T5" s="23" t="n">
        <f aca="false">'P&amp;L'!T12</f>
        <v>-55.9651800182999</v>
      </c>
      <c r="U5" s="23" t="n">
        <f aca="false">'P&amp;L'!U12</f>
        <v>-61.3637202930129</v>
      </c>
      <c r="V5" s="23" t="n">
        <f aca="false">'P&amp;L'!V12</f>
        <v>-66.9834572124822</v>
      </c>
      <c r="W5" s="23" t="n">
        <f aca="false">'P&amp;L'!W12</f>
        <v>-71.4227221373024</v>
      </c>
      <c r="X5" s="23" t="n">
        <f aca="false">'P&amp;L'!X12</f>
        <v>-76.1092006768458</v>
      </c>
      <c r="Y5" s="23" t="n">
        <f aca="false">'P&amp;L'!Y12</f>
        <v>-81.0571273341453</v>
      </c>
      <c r="Z5" s="23" t="n">
        <f aca="false">'P&amp;L'!Z12</f>
        <v>-86.2816265953574</v>
      </c>
      <c r="AA5" s="23" t="n">
        <f aca="false">'P&amp;L'!AA12</f>
        <v>-91.798772149089</v>
      </c>
      <c r="AB5" s="23" t="n">
        <f aca="false">'P&amp;L'!AB12</f>
        <v>-97.6256502253786</v>
      </c>
      <c r="AC5" s="23" t="n">
        <f aca="false">'P&amp;L'!AC12</f>
        <v>-103.780427350046</v>
      </c>
      <c r="AD5" s="23" t="n">
        <f aca="false">'P&amp;L'!AD12</f>
        <v>-110.282422831825</v>
      </c>
      <c r="AE5" s="23" t="n">
        <f aca="false">'P&amp;L'!AE12</f>
        <v>-117.152186323026</v>
      </c>
      <c r="AF5" s="23" t="n">
        <f aca="false">'P&amp;L'!AF12</f>
        <v>-124.411580819545</v>
      </c>
    </row>
    <row r="6" customFormat="false" ht="15" hidden="false" customHeight="false" outlineLevel="0" collapsed="false">
      <c r="A6" s="4" t="s">
        <v>187</v>
      </c>
      <c r="B6" s="8" t="s">
        <v>188</v>
      </c>
      <c r="C6" s="16" t="n">
        <f aca="false">-(Capex!C9*(1-Assumptions!$B$58)+Capex!C8)</f>
        <v>-155.75</v>
      </c>
      <c r="D6" s="16" t="n">
        <f aca="false">-(Capex!D9*(1-Assumptions!$B$58)+Capex!D8)</f>
        <v>-155.75</v>
      </c>
      <c r="E6" s="16" t="n">
        <f aca="false">-(Capex!E9*(1-Assumptions!$B$58)+Capex!E8)</f>
        <v>-129.5</v>
      </c>
      <c r="F6" s="16" t="n">
        <f aca="false">-(Capex!F9*(1-Assumptions!$B$58)+Capex!F8)</f>
        <v>-129.5</v>
      </c>
      <c r="G6" s="16" t="n">
        <f aca="false">-(Capex!G9*(1-Assumptions!$B$58)+Capex!G8)</f>
        <v>-129.5</v>
      </c>
      <c r="H6" s="16" t="n">
        <f aca="false">-(Capex!H9*(1-Assumptions!$B$58)+Capex!H8)</f>
        <v>-133.78125</v>
      </c>
      <c r="I6" s="16" t="n">
        <f aca="false">-(Capex!I9*(1-Assumptions!$B$58)+Capex!I8)</f>
        <v>-135.21875</v>
      </c>
      <c r="J6" s="16" t="n">
        <f aca="false">-(Capex!J9*(1-Assumptions!$B$58)+Capex!J8)</f>
        <v>-136.65625</v>
      </c>
      <c r="K6" s="16" t="n">
        <f aca="false">-(Capex!K9*(1-Assumptions!$B$58)+Capex!K8)</f>
        <v>-138.09375</v>
      </c>
      <c r="L6" s="16" t="n">
        <f aca="false">-(Capex!L9*(1-Assumptions!$B$58)+Capex!L8)</f>
        <v>-106.71875</v>
      </c>
      <c r="M6" s="16" t="n">
        <f aca="false">-(Capex!M9*(1-Assumptions!$B$58)+Capex!M8)</f>
        <v>-107.78125</v>
      </c>
      <c r="N6" s="16" t="n">
        <f aca="false">-(Capex!N9*(1-Assumptions!$B$58)+Capex!N8)</f>
        <v>-108.84375</v>
      </c>
      <c r="O6" s="16" t="n">
        <f aca="false">-(Capex!O9*(1-Assumptions!$B$58)+Capex!O8)</f>
        <v>-109.90625</v>
      </c>
      <c r="P6" s="16" t="n">
        <f aca="false">-(Capex!P9*(1-Assumptions!$B$58)+Capex!P8)</f>
        <v>-18</v>
      </c>
      <c r="Q6" s="16" t="n">
        <f aca="false">-(Capex!Q9*(1-Assumptions!$B$58)+Capex!Q8)</f>
        <v>-18</v>
      </c>
      <c r="R6" s="16" t="n">
        <f aca="false">-(Capex!R9*(1-Assumptions!$B$58)+Capex!R8)</f>
        <v>-18</v>
      </c>
      <c r="S6" s="16" t="n">
        <f aca="false">-(Capex!S9*(1-Assumptions!$B$58)+Capex!S8)</f>
        <v>-18</v>
      </c>
      <c r="T6" s="16" t="n">
        <f aca="false">-(Capex!T9*(1-Assumptions!$B$58)+Capex!T8)</f>
        <v>-18</v>
      </c>
      <c r="U6" s="16" t="n">
        <f aca="false">-(Capex!U9*(1-Assumptions!$B$58)+Capex!U8)</f>
        <v>-18</v>
      </c>
      <c r="V6" s="16" t="n">
        <f aca="false">-(Capex!V9*(1-Assumptions!$B$58)+Capex!V8)</f>
        <v>-18</v>
      </c>
      <c r="W6" s="16" t="n">
        <f aca="false">-(Capex!W9*(1-Assumptions!$B$58)+Capex!W8)</f>
        <v>-18</v>
      </c>
      <c r="X6" s="16" t="n">
        <f aca="false">-(Capex!X9*(1-Assumptions!$B$58)+Capex!X8)</f>
        <v>-18</v>
      </c>
      <c r="Y6" s="16" t="n">
        <f aca="false">-(Capex!Y9*(1-Assumptions!$B$58)+Capex!Y8)</f>
        <v>-18</v>
      </c>
      <c r="Z6" s="16" t="n">
        <f aca="false">-(Capex!Z9*(1-Assumptions!$B$58)+Capex!Z8)</f>
        <v>-18</v>
      </c>
      <c r="AA6" s="16" t="n">
        <f aca="false">-(Capex!AA9*(1-Assumptions!$B$58)+Capex!AA8)</f>
        <v>-18</v>
      </c>
      <c r="AB6" s="16" t="n">
        <f aca="false">-(Capex!AB9*(1-Assumptions!$B$58)+Capex!AB8)</f>
        <v>-18</v>
      </c>
      <c r="AC6" s="16" t="n">
        <f aca="false">-(Capex!AC9*(1-Assumptions!$B$58)+Capex!AC8)</f>
        <v>-18</v>
      </c>
      <c r="AD6" s="16" t="n">
        <f aca="false">-(Capex!AD9*(1-Assumptions!$B$58)+Capex!AD8)</f>
        <v>-18</v>
      </c>
      <c r="AE6" s="16" t="n">
        <f aca="false">-(Capex!AE9*(1-Assumptions!$B$58)+Capex!AE8)</f>
        <v>-18</v>
      </c>
      <c r="AF6" s="16" t="n">
        <f aca="false">-(Capex!AF9*(1-Assumptions!$B$58)+Capex!AF8)</f>
        <v>-18</v>
      </c>
    </row>
    <row r="7" customFormat="false" ht="15" hidden="false" customHeight="false" outlineLevel="0" collapsed="false">
      <c r="A7" s="17" t="s">
        <v>189</v>
      </c>
      <c r="B7" s="18"/>
      <c r="C7" s="19" t="n">
        <f aca="false">C4+C5+C6</f>
        <v>-158.42</v>
      </c>
      <c r="D7" s="19" t="n">
        <f aca="false">D4+D5+D6</f>
        <v>-161.09</v>
      </c>
      <c r="E7" s="19" t="n">
        <f aca="false">E4+E5+E6</f>
        <v>-137.06</v>
      </c>
      <c r="F7" s="19" t="n">
        <f aca="false">F4+F5+F6</f>
        <v>-139.28</v>
      </c>
      <c r="G7" s="19" t="n">
        <f aca="false">G4+G5+G6</f>
        <v>-119.252</v>
      </c>
      <c r="H7" s="19" t="n">
        <f aca="false">H4+H5+H6</f>
        <v>-83.218821</v>
      </c>
      <c r="I7" s="19" t="n">
        <f aca="false">I4+I5+I6</f>
        <v>-79.929176165</v>
      </c>
      <c r="J7" s="19" t="n">
        <f aca="false">J4+J5+J6</f>
        <v>-65.0514767222238</v>
      </c>
      <c r="K7" s="19" t="n">
        <f aca="false">K4+K5+K6</f>
        <v>-59.6356510517215</v>
      </c>
      <c r="L7" s="19" t="n">
        <f aca="false">L4+L5+L6</f>
        <v>46.009661691351</v>
      </c>
      <c r="M7" s="19" t="n">
        <f aca="false">M4+M5+M6</f>
        <v>55.7909186949667</v>
      </c>
      <c r="N7" s="19" t="n">
        <f aca="false">N4+N5+N6</f>
        <v>62.1749663102051</v>
      </c>
      <c r="O7" s="19" t="n">
        <f aca="false">O4+O5+O6</f>
        <v>69.350388313603</v>
      </c>
      <c r="P7" s="19" t="n">
        <f aca="false">P4+P5+P6</f>
        <v>170.233778948207</v>
      </c>
      <c r="Q7" s="19" t="n">
        <f aca="false">Q4+Q5+Q6</f>
        <v>180.233171788417</v>
      </c>
      <c r="R7" s="19" t="n">
        <f aca="false">R4+R5+R6</f>
        <v>189.288454140565</v>
      </c>
      <c r="S7" s="19" t="n">
        <f aca="false">S4+S5+S6</f>
        <v>193.580082429227</v>
      </c>
      <c r="T7" s="19" t="n">
        <f aca="false">T4+T5+T6</f>
        <v>201.693991471271</v>
      </c>
      <c r="U7" s="19" t="n">
        <f aca="false">U4+U5+U6</f>
        <v>210.296299731316</v>
      </c>
      <c r="V7" s="19" t="n">
        <f aca="false">V4+V5+V6</f>
        <v>219.414733495792</v>
      </c>
      <c r="W7" s="19" t="n">
        <f aca="false">W4+W5+W6</f>
        <v>230.493018320372</v>
      </c>
      <c r="X7" s="19" t="n">
        <f aca="false">X4+X5+X6</f>
        <v>242.14813491264</v>
      </c>
      <c r="Y7" s="19" t="n">
        <f aca="false">Y4+Y5+Y6</f>
        <v>254.413297113006</v>
      </c>
      <c r="Z7" s="19" t="n">
        <f aca="false">Z4+Z5+Z6</f>
        <v>267.323795389167</v>
      </c>
      <c r="AA7" s="19" t="n">
        <f aca="false">AA4+AA5+AA6</f>
        <v>280.917135014541</v>
      </c>
      <c r="AB7" s="19" t="n">
        <f aca="false">AB4+AB5+AB6</f>
        <v>295.233183859217</v>
      </c>
      <c r="AC7" s="19" t="n">
        <f aca="false">AC4+AC5+AC6</f>
        <v>310.31433048344</v>
      </c>
      <c r="AD7" s="19" t="n">
        <f aca="false">AD4+AD5+AD6</f>
        <v>326.205653274258</v>
      </c>
      <c r="AE7" s="19" t="n">
        <f aca="false">AE4+AE5+AE6</f>
        <v>342.955101420394</v>
      </c>
      <c r="AF7" s="19" t="n">
        <f aca="false">AF4+AF5+AF6</f>
        <v>360.613688578939</v>
      </c>
    </row>
    <row r="8" customFormat="false" ht="15" hidden="false" customHeight="false" outlineLevel="0" collapsed="false">
      <c r="A8" s="4" t="s">
        <v>190</v>
      </c>
      <c r="B8" s="8"/>
      <c r="C8" s="16" t="n">
        <f aca="false">SUM($C$7:C7)</f>
        <v>-158.42</v>
      </c>
      <c r="D8" s="16" t="n">
        <f aca="false">SUM($C$7:D7)</f>
        <v>-319.51</v>
      </c>
      <c r="E8" s="16" t="n">
        <f aca="false">SUM($C$7:E7)</f>
        <v>-456.57</v>
      </c>
      <c r="F8" s="16" t="n">
        <f aca="false">SUM($C$7:F7)</f>
        <v>-595.85</v>
      </c>
      <c r="G8" s="16" t="n">
        <f aca="false">SUM($C$7:G7)</f>
        <v>-715.102</v>
      </c>
      <c r="H8" s="16" t="n">
        <f aca="false">SUM($C$7:H7)</f>
        <v>-798.320821</v>
      </c>
      <c r="I8" s="16" t="n">
        <f aca="false">SUM($C$7:I7)</f>
        <v>-878.249997165</v>
      </c>
      <c r="J8" s="16" t="n">
        <f aca="false">SUM($C$7:J7)</f>
        <v>-943.301473887224</v>
      </c>
      <c r="K8" s="16" t="n">
        <f aca="false">SUM($C$7:K7)</f>
        <v>-1002.93712493895</v>
      </c>
      <c r="L8" s="16" t="n">
        <f aca="false">SUM($C$7:L7)</f>
        <v>-956.927463247594</v>
      </c>
      <c r="M8" s="16" t="n">
        <f aca="false">SUM($C$7:M7)</f>
        <v>-901.136544552628</v>
      </c>
      <c r="N8" s="16" t="n">
        <f aca="false">SUM($C$7:N7)</f>
        <v>-838.961578242422</v>
      </c>
      <c r="O8" s="16" t="n">
        <f aca="false">SUM($C$7:O7)</f>
        <v>-769.61118992882</v>
      </c>
      <c r="P8" s="16" t="n">
        <f aca="false">SUM($C$7:P7)</f>
        <v>-599.377410980612</v>
      </c>
      <c r="Q8" s="16" t="n">
        <f aca="false">SUM($C$7:Q7)</f>
        <v>-419.144239192195</v>
      </c>
      <c r="R8" s="16" t="n">
        <f aca="false">SUM($C$7:R7)</f>
        <v>-229.855785051631</v>
      </c>
      <c r="S8" s="16" t="n">
        <f aca="false">SUM($C$7:S7)</f>
        <v>-36.2757026224035</v>
      </c>
      <c r="T8" s="16" t="n">
        <f aca="false">SUM($C$7:T7)</f>
        <v>165.418288848868</v>
      </c>
      <c r="U8" s="16" t="n">
        <f aca="false">SUM($C$7:U7)</f>
        <v>375.714588580184</v>
      </c>
      <c r="V8" s="16" t="n">
        <f aca="false">SUM($C$7:V7)</f>
        <v>595.129322075976</v>
      </c>
      <c r="W8" s="16" t="n">
        <f aca="false">SUM($C$7:W7)</f>
        <v>825.622340396348</v>
      </c>
      <c r="X8" s="16" t="n">
        <f aca="false">SUM($C$7:X7)</f>
        <v>1067.77047530899</v>
      </c>
      <c r="Y8" s="16" t="n">
        <f aca="false">SUM($C$7:Y7)</f>
        <v>1322.18377242199</v>
      </c>
      <c r="Z8" s="16" t="n">
        <f aca="false">SUM($C$7:Z7)</f>
        <v>1589.50756781116</v>
      </c>
      <c r="AA8" s="16" t="n">
        <f aca="false">SUM($C$7:AA7)</f>
        <v>1870.4247028257</v>
      </c>
      <c r="AB8" s="16" t="n">
        <f aca="false">SUM($C$7:AB7)</f>
        <v>2165.65788668492</v>
      </c>
      <c r="AC8" s="16" t="n">
        <f aca="false">SUM($C$7:AC7)</f>
        <v>2475.97221716836</v>
      </c>
      <c r="AD8" s="16" t="n">
        <f aca="false">SUM($C$7:AD7)</f>
        <v>2802.17787044262</v>
      </c>
      <c r="AE8" s="16" t="n">
        <f aca="false">SUM($C$7:AE7)</f>
        <v>3145.13297186301</v>
      </c>
      <c r="AF8" s="16" t="n">
        <f aca="false">SUM($C$7:AF7)</f>
        <v>3505.74666044195</v>
      </c>
    </row>
    <row r="10" customFormat="false" ht="15" hidden="false" customHeight="false" outlineLevel="0" collapsed="false">
      <c r="A10" s="4" t="s">
        <v>191</v>
      </c>
      <c r="B10" s="8"/>
      <c r="C10" s="23" t="n">
        <f aca="false">Financing!C4+Financing!C10</f>
        <v>127.142857142857</v>
      </c>
      <c r="D10" s="23" t="n">
        <f aca="false">Financing!D4+Financing!D10</f>
        <v>127.142857142857</v>
      </c>
      <c r="E10" s="23" t="n">
        <f aca="false">Financing!E4+Financing!E10</f>
        <v>105.714285714286</v>
      </c>
      <c r="F10" s="23" t="n">
        <f aca="false">Financing!F4+Financing!F10</f>
        <v>105.714285714286</v>
      </c>
      <c r="G10" s="23" t="n">
        <f aca="false">Financing!G4+Financing!G10</f>
        <v>105.714285714286</v>
      </c>
      <c r="H10" s="23" t="n">
        <f aca="false">Financing!H4+Financing!H10</f>
        <v>73.9285714285714</v>
      </c>
      <c r="I10" s="23" t="n">
        <f aca="false">Financing!I4+Financing!I10</f>
        <v>73.9285714285714</v>
      </c>
      <c r="J10" s="23" t="n">
        <f aca="false">Financing!J4+Financing!J10</f>
        <v>73.9285714285714</v>
      </c>
      <c r="K10" s="23" t="n">
        <f aca="false">Financing!K4+Financing!K10</f>
        <v>73.9285714285714</v>
      </c>
      <c r="L10" s="23" t="n">
        <f aca="false">Financing!L4+Financing!L10</f>
        <v>0</v>
      </c>
      <c r="M10" s="23" t="n">
        <f aca="false">Financing!M4+Financing!M10</f>
        <v>0</v>
      </c>
      <c r="N10" s="23" t="n">
        <f aca="false">Financing!N4+Financing!N10</f>
        <v>0</v>
      </c>
      <c r="O10" s="23" t="n">
        <f aca="false">Financing!O4+Financing!O10</f>
        <v>0</v>
      </c>
      <c r="P10" s="23" t="n">
        <f aca="false">Financing!P4+Financing!P10</f>
        <v>0</v>
      </c>
      <c r="Q10" s="23" t="n">
        <f aca="false">Financing!Q4+Financing!Q10</f>
        <v>0</v>
      </c>
      <c r="R10" s="23" t="n">
        <f aca="false">Financing!R4+Financing!R10</f>
        <v>0</v>
      </c>
      <c r="S10" s="23" t="n">
        <f aca="false">Financing!S4+Financing!S10</f>
        <v>0</v>
      </c>
      <c r="T10" s="23" t="n">
        <f aca="false">Financing!T4+Financing!T10</f>
        <v>0</v>
      </c>
      <c r="U10" s="23" t="n">
        <f aca="false">Financing!U4+Financing!U10</f>
        <v>0</v>
      </c>
      <c r="V10" s="23" t="n">
        <f aca="false">Financing!V4+Financing!V10</f>
        <v>0</v>
      </c>
      <c r="W10" s="23" t="n">
        <f aca="false">Financing!W4+Financing!W10</f>
        <v>0</v>
      </c>
      <c r="X10" s="23" t="n">
        <f aca="false">Financing!X4+Financing!X10</f>
        <v>0</v>
      </c>
      <c r="Y10" s="23" t="n">
        <f aca="false">Financing!Y4+Financing!Y10</f>
        <v>0</v>
      </c>
      <c r="Z10" s="23" t="n">
        <f aca="false">Financing!Z4+Financing!Z10</f>
        <v>0</v>
      </c>
      <c r="AA10" s="23" t="n">
        <f aca="false">Financing!AA4+Financing!AA10</f>
        <v>0</v>
      </c>
      <c r="AB10" s="23" t="n">
        <f aca="false">Financing!AB4+Financing!AB10</f>
        <v>0</v>
      </c>
      <c r="AC10" s="23" t="n">
        <f aca="false">Financing!AC4+Financing!AC10</f>
        <v>0</v>
      </c>
      <c r="AD10" s="23" t="n">
        <f aca="false">Financing!AD4+Financing!AD10</f>
        <v>0</v>
      </c>
      <c r="AE10" s="23" t="n">
        <f aca="false">Financing!AE4+Financing!AE10</f>
        <v>0</v>
      </c>
      <c r="AF10" s="23" t="n">
        <f aca="false">Financing!AF4+Financing!AF10</f>
        <v>0</v>
      </c>
    </row>
    <row r="11" customFormat="false" ht="15" hidden="false" customHeight="false" outlineLevel="0" collapsed="false">
      <c r="A11" s="4" t="s">
        <v>177</v>
      </c>
      <c r="B11" s="8"/>
      <c r="C11" s="23" t="n">
        <f aca="false">Financing!C16</f>
        <v>50.8571428571429</v>
      </c>
      <c r="D11" s="23" t="n">
        <f aca="false">Financing!D16</f>
        <v>50.8571428571429</v>
      </c>
      <c r="E11" s="23" t="n">
        <f aca="false">Financing!E16</f>
        <v>42.2857142857143</v>
      </c>
      <c r="F11" s="23" t="n">
        <f aca="false">Financing!F16</f>
        <v>42.2857142857143</v>
      </c>
      <c r="G11" s="23" t="n">
        <f aca="false">Financing!G16</f>
        <v>42.2857142857143</v>
      </c>
      <c r="H11" s="23" t="n">
        <f aca="false">Financing!H16</f>
        <v>41.0714285714286</v>
      </c>
      <c r="I11" s="23" t="n">
        <f aca="false">Financing!I16</f>
        <v>41.0714285714286</v>
      </c>
      <c r="J11" s="23" t="n">
        <f aca="false">Financing!J16</f>
        <v>41.0714285714286</v>
      </c>
      <c r="K11" s="23" t="n">
        <f aca="false">Financing!K16</f>
        <v>41.0714285714286</v>
      </c>
      <c r="L11" s="23" t="n">
        <f aca="false">Financing!L16</f>
        <v>30.3571428571429</v>
      </c>
      <c r="M11" s="23" t="n">
        <f aca="false">Financing!M16</f>
        <v>30.3571428571429</v>
      </c>
      <c r="N11" s="23" t="n">
        <f aca="false">Financing!N16</f>
        <v>30.3571428571429</v>
      </c>
      <c r="O11" s="23" t="n">
        <f aca="false">Financing!O16</f>
        <v>30.3571428571429</v>
      </c>
      <c r="P11" s="23" t="n">
        <f aca="false">Financing!P16</f>
        <v>0</v>
      </c>
      <c r="Q11" s="23" t="n">
        <f aca="false">Financing!Q16</f>
        <v>0</v>
      </c>
      <c r="R11" s="23" t="n">
        <f aca="false">Financing!R16</f>
        <v>0</v>
      </c>
      <c r="S11" s="23" t="n">
        <f aca="false">Financing!S16</f>
        <v>0</v>
      </c>
      <c r="T11" s="23" t="n">
        <f aca="false">Financing!T16</f>
        <v>0</v>
      </c>
      <c r="U11" s="23" t="n">
        <f aca="false">Financing!U16</f>
        <v>0</v>
      </c>
      <c r="V11" s="23" t="n">
        <f aca="false">Financing!V16</f>
        <v>0</v>
      </c>
      <c r="W11" s="23" t="n">
        <f aca="false">Financing!W16</f>
        <v>0</v>
      </c>
      <c r="X11" s="23" t="n">
        <f aca="false">Financing!X16</f>
        <v>0</v>
      </c>
      <c r="Y11" s="23" t="n">
        <f aca="false">Financing!Y16</f>
        <v>0</v>
      </c>
      <c r="Z11" s="23" t="n">
        <f aca="false">Financing!Z16</f>
        <v>0</v>
      </c>
      <c r="AA11" s="23" t="n">
        <f aca="false">Financing!AA16</f>
        <v>0</v>
      </c>
      <c r="AB11" s="23" t="n">
        <f aca="false">Financing!AB16</f>
        <v>0</v>
      </c>
      <c r="AC11" s="23" t="n">
        <f aca="false">Financing!AC16</f>
        <v>0</v>
      </c>
      <c r="AD11" s="23" t="n">
        <f aca="false">Financing!AD16</f>
        <v>0</v>
      </c>
      <c r="AE11" s="23" t="n">
        <f aca="false">Financing!AE16</f>
        <v>0</v>
      </c>
      <c r="AF11" s="23" t="n">
        <f aca="false">Financing!AF16</f>
        <v>0</v>
      </c>
    </row>
    <row r="12" customFormat="false" ht="15" hidden="false" customHeight="false" outlineLevel="0" collapsed="false">
      <c r="A12" s="4" t="s">
        <v>192</v>
      </c>
      <c r="B12" s="8"/>
      <c r="C12" s="23" t="n">
        <f aca="false">-Financing!C8-Financing!C14</f>
        <v>-0</v>
      </c>
      <c r="D12" s="23" t="n">
        <f aca="false">-Financing!D8-Financing!D14</f>
        <v>-9.81542857142857</v>
      </c>
      <c r="E12" s="23" t="n">
        <f aca="false">-Financing!E8-Financing!E14</f>
        <v>-19.6308571428571</v>
      </c>
      <c r="F12" s="23" t="n">
        <f aca="false">-Financing!F8-Financing!F14</f>
        <v>-27.792</v>
      </c>
      <c r="G12" s="23" t="n">
        <f aca="false">-Financing!G8-Financing!G14</f>
        <v>-35.9531428571429</v>
      </c>
      <c r="H12" s="23" t="n">
        <f aca="false">-Financing!H8-Financing!H14</f>
        <v>-44.1142857142857</v>
      </c>
      <c r="I12" s="23" t="n">
        <f aca="false">-Financing!I8-Financing!I14</f>
        <v>-50.0285714285714</v>
      </c>
      <c r="J12" s="23" t="n">
        <f aca="false">-Financing!J8-Financing!J14</f>
        <v>-55.9428571428572</v>
      </c>
      <c r="K12" s="23" t="n">
        <f aca="false">-Financing!K8-Financing!K14</f>
        <v>-57.1428571428572</v>
      </c>
      <c r="L12" s="23" t="n">
        <f aca="false">-Financing!L8-Financing!L14</f>
        <v>-58.3428571428572</v>
      </c>
      <c r="M12" s="23" t="n">
        <f aca="false">-Financing!M8-Financing!M14</f>
        <v>-53.6285714285714</v>
      </c>
      <c r="N12" s="23" t="n">
        <f aca="false">-Financing!N8-Financing!N14</f>
        <v>-48.9142857142857</v>
      </c>
      <c r="O12" s="23" t="n">
        <f aca="false">-Financing!O8-Financing!O14</f>
        <v>-44.2</v>
      </c>
      <c r="P12" s="23" t="n">
        <f aca="false">-Financing!P8-Financing!P14</f>
        <v>-39.4857142857143</v>
      </c>
      <c r="Q12" s="23" t="n">
        <f aca="false">-Financing!Q8-Financing!Q14</f>
        <v>-34.7714285714286</v>
      </c>
      <c r="R12" s="23" t="n">
        <f aca="false">-Financing!R8-Financing!R14</f>
        <v>-30.0571428571429</v>
      </c>
      <c r="S12" s="23" t="n">
        <f aca="false">-Financing!S8-Financing!S14</f>
        <v>-14.1428571428571</v>
      </c>
      <c r="T12" s="23" t="n">
        <f aca="false">-Financing!T8-Financing!T14</f>
        <v>-9.42857142857143</v>
      </c>
      <c r="U12" s="23" t="n">
        <f aca="false">-Financing!U8-Financing!U14</f>
        <v>-4.71428571428572</v>
      </c>
      <c r="V12" s="23" t="n">
        <f aca="false">-Financing!V8-Financing!V14</f>
        <v>-0</v>
      </c>
      <c r="W12" s="23" t="n">
        <f aca="false">-Financing!W8-Financing!W14</f>
        <v>-0</v>
      </c>
      <c r="X12" s="23" t="n">
        <f aca="false">-Financing!X8-Financing!X14</f>
        <v>-0</v>
      </c>
      <c r="Y12" s="23" t="n">
        <f aca="false">-Financing!Y8-Financing!Y14</f>
        <v>-0</v>
      </c>
      <c r="Z12" s="23" t="n">
        <f aca="false">-Financing!Z8-Financing!Z14</f>
        <v>-0</v>
      </c>
      <c r="AA12" s="23" t="n">
        <f aca="false">-Financing!AA8-Financing!AA14</f>
        <v>-0</v>
      </c>
      <c r="AB12" s="23" t="n">
        <f aca="false">-Financing!AB8-Financing!AB14</f>
        <v>-0</v>
      </c>
      <c r="AC12" s="23" t="n">
        <f aca="false">-Financing!AC8-Financing!AC14</f>
        <v>-0</v>
      </c>
      <c r="AD12" s="23" t="n">
        <f aca="false">-Financing!AD8-Financing!AD14</f>
        <v>-0</v>
      </c>
      <c r="AE12" s="23" t="n">
        <f aca="false">-Financing!AE8-Financing!AE14</f>
        <v>-0</v>
      </c>
      <c r="AF12" s="23" t="n">
        <f aca="false">-Financing!AF8-Financing!AF14</f>
        <v>-0</v>
      </c>
    </row>
    <row r="13" customFormat="false" ht="15" hidden="false" customHeight="false" outlineLevel="0" collapsed="false">
      <c r="A13" s="4" t="s">
        <v>164</v>
      </c>
      <c r="B13" s="8"/>
      <c r="C13" s="23" t="n">
        <f aca="false">Financing!C5</f>
        <v>-0</v>
      </c>
      <c r="D13" s="23" t="n">
        <f aca="false">Financing!D5</f>
        <v>-0</v>
      </c>
      <c r="E13" s="23" t="n">
        <f aca="false">Financing!E5</f>
        <v>-0</v>
      </c>
      <c r="F13" s="23" t="n">
        <f aca="false">Financing!F5</f>
        <v>-0</v>
      </c>
      <c r="G13" s="23" t="n">
        <f aca="false">Financing!G5</f>
        <v>-0</v>
      </c>
      <c r="H13" s="23" t="n">
        <f aca="false">Financing!H5</f>
        <v>-0</v>
      </c>
      <c r="I13" s="23" t="n">
        <f aca="false">Financing!I5</f>
        <v>-0</v>
      </c>
      <c r="J13" s="23" t="n">
        <f aca="false">Financing!J5</f>
        <v>-58.9285714285714</v>
      </c>
      <c r="K13" s="23" t="n">
        <f aca="false">Financing!K5</f>
        <v>-58.9285714285714</v>
      </c>
      <c r="L13" s="23" t="n">
        <f aca="false">Financing!L5</f>
        <v>-58.9285714285714</v>
      </c>
      <c r="M13" s="23" t="n">
        <f aca="false">Financing!M5</f>
        <v>-58.9285714285714</v>
      </c>
      <c r="N13" s="23" t="n">
        <f aca="false">Financing!N5</f>
        <v>-58.9285714285714</v>
      </c>
      <c r="O13" s="23" t="n">
        <f aca="false">Financing!O5</f>
        <v>-58.9285714285714</v>
      </c>
      <c r="P13" s="23" t="n">
        <f aca="false">Financing!P5</f>
        <v>-58.9285714285714</v>
      </c>
      <c r="Q13" s="23" t="n">
        <f aca="false">Financing!Q5</f>
        <v>-58.9285714285714</v>
      </c>
      <c r="R13" s="23" t="n">
        <f aca="false">Financing!R5</f>
        <v>-58.9285714285714</v>
      </c>
      <c r="S13" s="23" t="n">
        <f aca="false">Financing!S5</f>
        <v>-58.9285714285714</v>
      </c>
      <c r="T13" s="23" t="n">
        <f aca="false">Financing!T5</f>
        <v>-58.9285714285714</v>
      </c>
      <c r="U13" s="23" t="n">
        <f aca="false">Financing!U5</f>
        <v>-58.9285714285714</v>
      </c>
      <c r="V13" s="23" t="n">
        <f aca="false">Financing!V5</f>
        <v>-0</v>
      </c>
      <c r="W13" s="23" t="n">
        <f aca="false">Financing!W5</f>
        <v>-0</v>
      </c>
      <c r="X13" s="23" t="n">
        <f aca="false">Financing!X5</f>
        <v>-0</v>
      </c>
      <c r="Y13" s="23" t="n">
        <f aca="false">Financing!Y5</f>
        <v>-0</v>
      </c>
      <c r="Z13" s="23" t="n">
        <f aca="false">Financing!Z5</f>
        <v>-0</v>
      </c>
      <c r="AA13" s="23" t="n">
        <f aca="false">Financing!AA5</f>
        <v>-0</v>
      </c>
      <c r="AB13" s="23" t="n">
        <f aca="false">Financing!AB5</f>
        <v>-0</v>
      </c>
      <c r="AC13" s="23" t="n">
        <f aca="false">Financing!AC5</f>
        <v>-0</v>
      </c>
      <c r="AD13" s="23" t="n">
        <f aca="false">Financing!AD5</f>
        <v>-0</v>
      </c>
      <c r="AE13" s="23" t="n">
        <f aca="false">Financing!AE5</f>
        <v>-0</v>
      </c>
      <c r="AF13" s="23" t="n">
        <f aca="false">Financing!AF5</f>
        <v>-0</v>
      </c>
    </row>
    <row r="14" customFormat="false" ht="15" hidden="false" customHeight="false" outlineLevel="0" collapsed="false">
      <c r="A14" s="4" t="s">
        <v>172</v>
      </c>
      <c r="B14" s="8"/>
      <c r="C14" s="23" t="n">
        <f aca="false">Financing!C11</f>
        <v>0</v>
      </c>
      <c r="D14" s="23" t="n">
        <f aca="false">Financing!D11</f>
        <v>0</v>
      </c>
      <c r="E14" s="23" t="n">
        <f aca="false">Financing!E11</f>
        <v>0</v>
      </c>
      <c r="F14" s="23" t="n">
        <f aca="false">Financing!F11</f>
        <v>0</v>
      </c>
      <c r="G14" s="23" t="n">
        <f aca="false">Financing!G11</f>
        <v>0</v>
      </c>
      <c r="H14" s="23" t="n">
        <f aca="false">Financing!H11</f>
        <v>0</v>
      </c>
      <c r="I14" s="23" t="n">
        <f aca="false">Financing!I11</f>
        <v>0</v>
      </c>
      <c r="J14" s="23" t="n">
        <f aca="false">Financing!J11</f>
        <v>0</v>
      </c>
      <c r="K14" s="23" t="n">
        <f aca="false">Financing!K11</f>
        <v>0</v>
      </c>
      <c r="L14" s="23" t="n">
        <f aca="false">Financing!L11</f>
        <v>0</v>
      </c>
      <c r="M14" s="23" t="n">
        <f aca="false">Financing!M11</f>
        <v>0</v>
      </c>
      <c r="N14" s="23" t="n">
        <f aca="false">Financing!N11</f>
        <v>0</v>
      </c>
      <c r="O14" s="23" t="n">
        <f aca="false">Financing!O11</f>
        <v>0</v>
      </c>
      <c r="P14" s="23" t="n">
        <f aca="false">Financing!P11</f>
        <v>0</v>
      </c>
      <c r="Q14" s="23" t="n">
        <f aca="false">Financing!Q11</f>
        <v>0</v>
      </c>
      <c r="R14" s="23" t="n">
        <f aca="false">Financing!R11</f>
        <v>-160</v>
      </c>
      <c r="S14" s="23" t="n">
        <f aca="false">Financing!S11</f>
        <v>0</v>
      </c>
      <c r="T14" s="23" t="n">
        <f aca="false">Financing!T11</f>
        <v>0</v>
      </c>
      <c r="U14" s="23" t="n">
        <f aca="false">Financing!U11</f>
        <v>0</v>
      </c>
      <c r="V14" s="23" t="n">
        <f aca="false">Financing!V11</f>
        <v>0</v>
      </c>
      <c r="W14" s="23" t="n">
        <f aca="false">Financing!W11</f>
        <v>0</v>
      </c>
      <c r="X14" s="23" t="n">
        <f aca="false">Financing!X11</f>
        <v>0</v>
      </c>
      <c r="Y14" s="23" t="n">
        <f aca="false">Financing!Y11</f>
        <v>0</v>
      </c>
      <c r="Z14" s="23" t="n">
        <f aca="false">Financing!Z11</f>
        <v>0</v>
      </c>
      <c r="AA14" s="23" t="n">
        <f aca="false">Financing!AA11</f>
        <v>0</v>
      </c>
      <c r="AB14" s="23" t="n">
        <f aca="false">Financing!AB11</f>
        <v>0</v>
      </c>
      <c r="AC14" s="23" t="n">
        <f aca="false">Financing!AC11</f>
        <v>0</v>
      </c>
      <c r="AD14" s="23" t="n">
        <f aca="false">Financing!AD11</f>
        <v>0</v>
      </c>
      <c r="AE14" s="23" t="n">
        <f aca="false">Financing!AE11</f>
        <v>0</v>
      </c>
      <c r="AF14" s="23" t="n">
        <f aca="false">Financing!AF11</f>
        <v>0</v>
      </c>
    </row>
    <row r="15" customFormat="false" ht="15" hidden="false" customHeight="false" outlineLevel="0" collapsed="false">
      <c r="A15" s="4" t="s">
        <v>193</v>
      </c>
      <c r="B15" s="8" t="s">
        <v>194</v>
      </c>
      <c r="C15" s="23" t="n">
        <f aca="false">-Financing!C11</f>
        <v>-0</v>
      </c>
      <c r="D15" s="23" t="n">
        <f aca="false">-Financing!D11</f>
        <v>-0</v>
      </c>
      <c r="E15" s="23" t="n">
        <f aca="false">-Financing!E11</f>
        <v>-0</v>
      </c>
      <c r="F15" s="23" t="n">
        <f aca="false">-Financing!F11</f>
        <v>-0</v>
      </c>
      <c r="G15" s="23" t="n">
        <f aca="false">-Financing!G11</f>
        <v>-0</v>
      </c>
      <c r="H15" s="23" t="n">
        <f aca="false">-Financing!H11</f>
        <v>-0</v>
      </c>
      <c r="I15" s="23" t="n">
        <f aca="false">-Financing!I11</f>
        <v>-0</v>
      </c>
      <c r="J15" s="23" t="n">
        <f aca="false">-Financing!J11</f>
        <v>-0</v>
      </c>
      <c r="K15" s="23" t="n">
        <f aca="false">-Financing!K11</f>
        <v>-0</v>
      </c>
      <c r="L15" s="23" t="n">
        <f aca="false">-Financing!L11</f>
        <v>-0</v>
      </c>
      <c r="M15" s="23" t="n">
        <f aca="false">-Financing!M11</f>
        <v>-0</v>
      </c>
      <c r="N15" s="23" t="n">
        <f aca="false">-Financing!N11</f>
        <v>-0</v>
      </c>
      <c r="O15" s="23" t="n">
        <f aca="false">-Financing!O11</f>
        <v>-0</v>
      </c>
      <c r="P15" s="23" t="n">
        <f aca="false">-Financing!P11</f>
        <v>-0</v>
      </c>
      <c r="Q15" s="23" t="n">
        <f aca="false">-Financing!Q11</f>
        <v>-0</v>
      </c>
      <c r="R15" s="23" t="n">
        <f aca="false">-Financing!R11</f>
        <v>160</v>
      </c>
      <c r="S15" s="23" t="n">
        <f aca="false">-Financing!S11</f>
        <v>-0</v>
      </c>
      <c r="T15" s="23" t="n">
        <f aca="false">-Financing!T11</f>
        <v>-0</v>
      </c>
      <c r="U15" s="23" t="n">
        <f aca="false">-Financing!U11</f>
        <v>-0</v>
      </c>
      <c r="V15" s="23" t="n">
        <f aca="false">-Financing!V11</f>
        <v>-0</v>
      </c>
      <c r="W15" s="23" t="n">
        <f aca="false">-Financing!W11</f>
        <v>-0</v>
      </c>
      <c r="X15" s="23" t="n">
        <f aca="false">-Financing!X11</f>
        <v>-0</v>
      </c>
      <c r="Y15" s="23" t="n">
        <f aca="false">-Financing!Y11</f>
        <v>-0</v>
      </c>
      <c r="Z15" s="23" t="n">
        <f aca="false">-Financing!Z11</f>
        <v>-0</v>
      </c>
      <c r="AA15" s="23" t="n">
        <f aca="false">-Financing!AA11</f>
        <v>-0</v>
      </c>
      <c r="AB15" s="23" t="n">
        <f aca="false">-Financing!AB11</f>
        <v>-0</v>
      </c>
      <c r="AC15" s="23" t="n">
        <f aca="false">-Financing!AC11</f>
        <v>-0</v>
      </c>
      <c r="AD15" s="23" t="n">
        <f aca="false">-Financing!AD11</f>
        <v>-0</v>
      </c>
      <c r="AE15" s="23" t="n">
        <f aca="false">-Financing!AE11</f>
        <v>-0</v>
      </c>
      <c r="AF15" s="23" t="n">
        <f aca="false">-Financing!AF11</f>
        <v>-0</v>
      </c>
    </row>
    <row r="16" customFormat="false" ht="15" hidden="false" customHeight="false" outlineLevel="0" collapsed="false">
      <c r="A16" s="17" t="s">
        <v>195</v>
      </c>
      <c r="B16" s="18"/>
      <c r="C16" s="19" t="n">
        <f aca="false">C7+C10+C11+C12+C13+C14+C15</f>
        <v>19.58</v>
      </c>
      <c r="D16" s="19" t="n">
        <f aca="false">D7+D10+D11+D12+D13+D14+D15</f>
        <v>7.09457142857145</v>
      </c>
      <c r="E16" s="19" t="n">
        <f aca="false">E7+E10+E11+E12+E13+E14+E15</f>
        <v>-8.69085714285714</v>
      </c>
      <c r="F16" s="19" t="n">
        <f aca="false">F7+F10+F11+F12+F13+F14+F15</f>
        <v>-19.072</v>
      </c>
      <c r="G16" s="19" t="n">
        <f aca="false">G7+G10+G11+G12+G13+G14+G15</f>
        <v>-7.20514285714287</v>
      </c>
      <c r="H16" s="19" t="n">
        <f aca="false">H7+H10+H11+H12+H13+H14+H15</f>
        <v>-12.3331067142857</v>
      </c>
      <c r="I16" s="19" t="n">
        <f aca="false">I7+I10+I11+I12+I13+I14+I15</f>
        <v>-14.9577475935714</v>
      </c>
      <c r="J16" s="19" t="n">
        <f aca="false">J7+J10+J11+J12+J13+J14+J15</f>
        <v>-64.9229052936524</v>
      </c>
      <c r="K16" s="19" t="n">
        <f aca="false">K7+K10+K11+K12+K13+K14+K15</f>
        <v>-60.7070796231501</v>
      </c>
      <c r="L16" s="19" t="n">
        <f aca="false">L7+L10+L11+L12+L13+L14+L15</f>
        <v>-40.9046240229347</v>
      </c>
      <c r="M16" s="19" t="n">
        <f aca="false">M7+M10+M11+M12+M13+M14+M15</f>
        <v>-26.4090813050333</v>
      </c>
      <c r="N16" s="19" t="n">
        <f aca="false">N7+N10+N11+N12+N13+N14+N15</f>
        <v>-15.3107479755092</v>
      </c>
      <c r="O16" s="19" t="n">
        <f aca="false">O7+O10+O11+O12+O13+O14+O15</f>
        <v>-3.42104025782562</v>
      </c>
      <c r="P16" s="19" t="n">
        <f aca="false">P7+P10+P11+P12+P13+P14+P15</f>
        <v>71.8194932339217</v>
      </c>
      <c r="Q16" s="19" t="n">
        <f aca="false">Q7+Q10+Q11+Q12+Q13+Q14+Q15</f>
        <v>86.5331717884167</v>
      </c>
      <c r="R16" s="19" t="n">
        <f aca="false">R7+R10+R11+R12+R13+R14+R15</f>
        <v>100.30273985485</v>
      </c>
      <c r="S16" s="19" t="n">
        <f aca="false">S7+S10+S11+S12+S13+S14+S15</f>
        <v>120.508653857799</v>
      </c>
      <c r="T16" s="19" t="n">
        <f aca="false">T7+T10+T11+T12+T13+T14+T15</f>
        <v>133.336848614128</v>
      </c>
      <c r="U16" s="19" t="n">
        <f aca="false">U7+U10+U11+U12+U13+U14+U15</f>
        <v>146.653442588459</v>
      </c>
      <c r="V16" s="19" t="n">
        <f aca="false">V7+V10+V11+V12+V13+V14+V15</f>
        <v>219.414733495792</v>
      </c>
      <c r="W16" s="19" t="n">
        <f aca="false">W7+W10+W11+W12+W13+W14+W15</f>
        <v>230.493018320372</v>
      </c>
      <c r="X16" s="19" t="n">
        <f aca="false">X7+X10+X11+X12+X13+X14+X15</f>
        <v>242.14813491264</v>
      </c>
      <c r="Y16" s="19" t="n">
        <f aca="false">Y7+Y10+Y11+Y12+Y13+Y14+Y15</f>
        <v>254.413297113006</v>
      </c>
      <c r="Z16" s="19" t="n">
        <f aca="false">Z7+Z10+Z11+Z12+Z13+Z14+Z15</f>
        <v>267.323795389167</v>
      </c>
      <c r="AA16" s="19" t="n">
        <f aca="false">AA7+AA10+AA11+AA12+AA13+AA14+AA15</f>
        <v>280.917135014541</v>
      </c>
      <c r="AB16" s="19" t="n">
        <f aca="false">AB7+AB10+AB11+AB12+AB13+AB14+AB15</f>
        <v>295.233183859217</v>
      </c>
      <c r="AC16" s="19" t="n">
        <f aca="false">AC7+AC10+AC11+AC12+AC13+AC14+AC15</f>
        <v>310.31433048344</v>
      </c>
      <c r="AD16" s="19" t="n">
        <f aca="false">AD7+AD10+AD11+AD12+AD13+AD14+AD15</f>
        <v>326.205653274258</v>
      </c>
      <c r="AE16" s="19" t="n">
        <f aca="false">AE7+AE10+AE11+AE12+AE13+AE14+AE15</f>
        <v>342.955101420394</v>
      </c>
      <c r="AF16" s="19" t="n">
        <f aca="false">AF7+AF10+AF11+AF12+AF13+AF14+AF15</f>
        <v>360.613688578939</v>
      </c>
    </row>
    <row r="18" customFormat="false" ht="15" hidden="false" customHeight="false" outlineLevel="0" collapsed="false">
      <c r="A18" s="4" t="s">
        <v>196</v>
      </c>
      <c r="B18" s="8"/>
      <c r="C18" s="16" t="n">
        <f aca="false">0</f>
        <v>0</v>
      </c>
      <c r="D18" s="16" t="n">
        <f aca="false">C23</f>
        <v>0</v>
      </c>
      <c r="E18" s="16" t="n">
        <f aca="false">D23</f>
        <v>0</v>
      </c>
      <c r="F18" s="16" t="n">
        <f aca="false">E23</f>
        <v>0</v>
      </c>
      <c r="G18" s="16" t="n">
        <f aca="false">F23</f>
        <v>1.08828571428566</v>
      </c>
      <c r="H18" s="16" t="n">
        <f aca="false">G23</f>
        <v>8.38049142857138</v>
      </c>
      <c r="I18" s="16" t="n">
        <f aca="false">H23</f>
        <v>21.3840374571428</v>
      </c>
      <c r="J18" s="16" t="n">
        <f aca="false">I23</f>
        <v>38.0525080472857</v>
      </c>
      <c r="K18" s="16" t="n">
        <f aca="false">J23</f>
        <v>106.019613984721</v>
      </c>
      <c r="L18" s="16" t="n">
        <f aca="false">K23</f>
        <v>175.208262726649</v>
      </c>
      <c r="M18" s="16" t="n">
        <f aca="false">L23</f>
        <v>230.129547767715</v>
      </c>
      <c r="N18" s="16" t="n">
        <f aca="false">M23</f>
        <v>274.948992894166</v>
      </c>
      <c r="O18" s="16" t="n">
        <f aca="false">N23</f>
        <v>312.255660301208</v>
      </c>
      <c r="P18" s="16" t="n">
        <f aca="false">O23</f>
        <v>340.657153383131</v>
      </c>
      <c r="Q18" s="16" t="n">
        <f aca="false">P23</f>
        <v>296.090232419859</v>
      </c>
      <c r="R18" s="16" t="n">
        <f aca="false">Q23</f>
        <v>233.244279225031</v>
      </c>
      <c r="S18" s="16" t="n">
        <f aca="false">R23</f>
        <v>151.601081708184</v>
      </c>
      <c r="T18" s="16" t="n">
        <f aca="false">S23</f>
        <v>43.2205143870396</v>
      </c>
      <c r="U18" s="16" t="n">
        <f aca="false">T23</f>
        <v>0</v>
      </c>
      <c r="V18" s="16" t="n">
        <f aca="false">U23</f>
        <v>0</v>
      </c>
      <c r="W18" s="16" t="n">
        <f aca="false">V23</f>
        <v>0</v>
      </c>
      <c r="X18" s="16" t="n">
        <f aca="false">W23</f>
        <v>0</v>
      </c>
      <c r="Y18" s="16" t="n">
        <f aca="false">X23</f>
        <v>0</v>
      </c>
      <c r="Z18" s="16" t="n">
        <f aca="false">Y23</f>
        <v>0</v>
      </c>
      <c r="AA18" s="16" t="n">
        <f aca="false">Z23</f>
        <v>0</v>
      </c>
      <c r="AB18" s="16" t="n">
        <f aca="false">AA23</f>
        <v>0</v>
      </c>
      <c r="AC18" s="16" t="n">
        <f aca="false">AB23</f>
        <v>0</v>
      </c>
      <c r="AD18" s="16" t="n">
        <f aca="false">AC23</f>
        <v>0</v>
      </c>
      <c r="AE18" s="16" t="n">
        <f aca="false">AD23</f>
        <v>0</v>
      </c>
      <c r="AF18" s="16" t="n">
        <f aca="false">AE23</f>
        <v>0</v>
      </c>
    </row>
    <row r="19" customFormat="false" ht="15" hidden="false" customHeight="false" outlineLevel="0" collapsed="false">
      <c r="A19" s="4" t="s">
        <v>197</v>
      </c>
      <c r="B19" s="8" t="s">
        <v>198</v>
      </c>
      <c r="C19" s="16" t="n">
        <f aca="false">-Assumptions!$B$61*C18</f>
        <v>-0</v>
      </c>
      <c r="D19" s="16" t="n">
        <f aca="false">-Assumptions!$B$61*D18</f>
        <v>-0</v>
      </c>
      <c r="E19" s="16" t="n">
        <f aca="false">-Assumptions!$B$61*E18</f>
        <v>-0</v>
      </c>
      <c r="F19" s="16" t="n">
        <f aca="false">-Assumptions!$B$61*F18</f>
        <v>-0</v>
      </c>
      <c r="G19" s="16" t="n">
        <f aca="false">-Assumptions!$B$61*G18</f>
        <v>-0.0870628571428529</v>
      </c>
      <c r="H19" s="16" t="n">
        <f aca="false">-Assumptions!$B$61*H18</f>
        <v>-0.670439314285711</v>
      </c>
      <c r="I19" s="16" t="n">
        <f aca="false">-Assumptions!$B$61*I18</f>
        <v>-1.71072299657143</v>
      </c>
      <c r="J19" s="16" t="n">
        <f aca="false">-Assumptions!$B$61*J18</f>
        <v>-3.04420064378286</v>
      </c>
      <c r="K19" s="16" t="n">
        <f aca="false">-Assumptions!$B$61*K18</f>
        <v>-8.48156911877768</v>
      </c>
      <c r="L19" s="16" t="n">
        <f aca="false">-Assumptions!$B$61*L18</f>
        <v>-14.0166610181319</v>
      </c>
      <c r="M19" s="16" t="n">
        <f aca="false">-Assumptions!$B$61*M18</f>
        <v>-18.4103638214172</v>
      </c>
      <c r="N19" s="16" t="n">
        <f aca="false">-Assumptions!$B$61*N18</f>
        <v>-21.9959194315333</v>
      </c>
      <c r="O19" s="16" t="n">
        <f aca="false">-Assumptions!$B$61*O18</f>
        <v>-24.9804528240967</v>
      </c>
      <c r="P19" s="16" t="n">
        <f aca="false">-Assumptions!$B$61*P18</f>
        <v>-27.2525722706505</v>
      </c>
      <c r="Q19" s="16" t="n">
        <f aca="false">-Assumptions!$B$61*Q18</f>
        <v>-23.6872185935888</v>
      </c>
      <c r="R19" s="16" t="n">
        <f aca="false">-Assumptions!$B$61*R18</f>
        <v>-18.6595423380025</v>
      </c>
      <c r="S19" s="16" t="n">
        <f aca="false">-Assumptions!$B$61*S18</f>
        <v>-12.1280865366547</v>
      </c>
      <c r="T19" s="16" t="n">
        <f aca="false">-Assumptions!$B$61*T18</f>
        <v>-3.45764115096317</v>
      </c>
      <c r="U19" s="16" t="n">
        <f aca="false">-Assumptions!$B$61*U18</f>
        <v>-0</v>
      </c>
      <c r="V19" s="16" t="n">
        <f aca="false">-Assumptions!$B$61*V18</f>
        <v>-0</v>
      </c>
      <c r="W19" s="16" t="n">
        <f aca="false">-Assumptions!$B$61*W18</f>
        <v>-0</v>
      </c>
      <c r="X19" s="16" t="n">
        <f aca="false">-Assumptions!$B$61*X18</f>
        <v>-0</v>
      </c>
      <c r="Y19" s="16" t="n">
        <f aca="false">-Assumptions!$B$61*Y18</f>
        <v>-0</v>
      </c>
      <c r="Z19" s="16" t="n">
        <f aca="false">-Assumptions!$B$61*Z18</f>
        <v>-0</v>
      </c>
      <c r="AA19" s="16" t="n">
        <f aca="false">-Assumptions!$B$61*AA18</f>
        <v>-0</v>
      </c>
      <c r="AB19" s="16" t="n">
        <f aca="false">-Assumptions!$B$61*AB18</f>
        <v>-0</v>
      </c>
      <c r="AC19" s="16" t="n">
        <f aca="false">-Assumptions!$B$61*AC18</f>
        <v>-0</v>
      </c>
      <c r="AD19" s="16" t="n">
        <f aca="false">-Assumptions!$B$61*AD18</f>
        <v>-0</v>
      </c>
      <c r="AE19" s="16" t="n">
        <f aca="false">-Assumptions!$B$61*AE18</f>
        <v>-0</v>
      </c>
      <c r="AF19" s="16" t="n">
        <f aca="false">-Assumptions!$B$61*AF18</f>
        <v>-0</v>
      </c>
    </row>
    <row r="20" customFormat="false" ht="15" hidden="false" customHeight="false" outlineLevel="0" collapsed="false">
      <c r="A20" s="4" t="s">
        <v>199</v>
      </c>
      <c r="B20" s="8"/>
      <c r="C20" s="16" t="n">
        <f aca="false">0+C16+C19</f>
        <v>19.58</v>
      </c>
      <c r="D20" s="16" t="n">
        <f aca="false">C24+D16+D19</f>
        <v>26.6745714285715</v>
      </c>
      <c r="E20" s="16" t="n">
        <f aca="false">D24+E16+E19</f>
        <v>17.9837142857143</v>
      </c>
      <c r="F20" s="16" t="n">
        <f aca="false">E24+F16+F19</f>
        <v>-1.08828571428566</v>
      </c>
      <c r="G20" s="16" t="n">
        <f aca="false">F24+G16+G19</f>
        <v>-7.29220571428572</v>
      </c>
      <c r="H20" s="16" t="n">
        <f aca="false">G24+H16+H19</f>
        <v>-13.0035460285715</v>
      </c>
      <c r="I20" s="16" t="n">
        <f aca="false">H24+I16+I19</f>
        <v>-16.6684705901429</v>
      </c>
      <c r="J20" s="16" t="n">
        <f aca="false">I24+J16+J19</f>
        <v>-67.9671059374352</v>
      </c>
      <c r="K20" s="16" t="n">
        <f aca="false">J24+K16+K19</f>
        <v>-69.1886487419278</v>
      </c>
      <c r="L20" s="16" t="n">
        <f aca="false">K24+L16+L19</f>
        <v>-54.9212850410666</v>
      </c>
      <c r="M20" s="16" t="n">
        <f aca="false">L24+M16+M19</f>
        <v>-44.8194451264505</v>
      </c>
      <c r="N20" s="16" t="n">
        <f aca="false">M24+N16+N19</f>
        <v>-37.3066674070425</v>
      </c>
      <c r="O20" s="16" t="n">
        <f aca="false">N24+O16+O19</f>
        <v>-28.4014930819223</v>
      </c>
      <c r="P20" s="16" t="n">
        <f aca="false">O24+P16+P19</f>
        <v>44.5669209632712</v>
      </c>
      <c r="Q20" s="16" t="n">
        <f aca="false">P24+Q16+Q19</f>
        <v>62.8459531948279</v>
      </c>
      <c r="R20" s="16" t="n">
        <f aca="false">Q24+R16+R19</f>
        <v>81.6431975168477</v>
      </c>
      <c r="S20" s="16" t="n">
        <f aca="false">R24+S16+S19</f>
        <v>108.380567321144</v>
      </c>
      <c r="T20" s="16" t="n">
        <f aca="false">S24+T16+T19</f>
        <v>129.879207463165</v>
      </c>
      <c r="U20" s="16" t="n">
        <f aca="false">T24+U16+U19</f>
        <v>233.312135664584</v>
      </c>
      <c r="V20" s="16" t="n">
        <f aca="false">U24+V16+V19</f>
        <v>452.726869160376</v>
      </c>
      <c r="W20" s="16" t="n">
        <f aca="false">V24+W16+W19</f>
        <v>683.219887480749</v>
      </c>
      <c r="X20" s="16" t="n">
        <f aca="false">W24+X16+X19</f>
        <v>925.368022393389</v>
      </c>
      <c r="Y20" s="16" t="n">
        <f aca="false">X24+Y16+Y19</f>
        <v>1179.78131950639</v>
      </c>
      <c r="Z20" s="16" t="n">
        <f aca="false">Y24+Z16+Z19</f>
        <v>1447.10511489556</v>
      </c>
      <c r="AA20" s="16" t="n">
        <f aca="false">Z24+AA16+AA19</f>
        <v>1728.0222499101</v>
      </c>
      <c r="AB20" s="16" t="n">
        <f aca="false">AA24+AB16+AB19</f>
        <v>2023.25543376932</v>
      </c>
      <c r="AC20" s="16" t="n">
        <f aca="false">AB24+AC16+AC19</f>
        <v>2333.56976425276</v>
      </c>
      <c r="AD20" s="16" t="n">
        <f aca="false">AC24+AD16+AD19</f>
        <v>2659.77541752702</v>
      </c>
      <c r="AE20" s="16" t="n">
        <f aca="false">AD24+AE16+AE19</f>
        <v>3002.73051894741</v>
      </c>
      <c r="AF20" s="16" t="n">
        <f aca="false">AE24+AF16+AF19</f>
        <v>3363.34420752635</v>
      </c>
    </row>
    <row r="21" customFormat="false" ht="15" hidden="false" customHeight="false" outlineLevel="0" collapsed="false">
      <c r="A21" s="4" t="s">
        <v>200</v>
      </c>
      <c r="B21" s="8"/>
      <c r="C21" s="16" t="n">
        <f aca="false">MAX(0,-C20)</f>
        <v>0</v>
      </c>
      <c r="D21" s="16" t="n">
        <f aca="false">MAX(0,-D20)</f>
        <v>0</v>
      </c>
      <c r="E21" s="16" t="n">
        <f aca="false">MAX(0,-E20)</f>
        <v>0</v>
      </c>
      <c r="F21" s="16" t="n">
        <f aca="false">MAX(0,-F20)</f>
        <v>1.08828571428566</v>
      </c>
      <c r="G21" s="16" t="n">
        <f aca="false">MAX(0,-G20)</f>
        <v>7.29220571428572</v>
      </c>
      <c r="H21" s="16" t="n">
        <f aca="false">MAX(0,-H20)</f>
        <v>13.0035460285715</v>
      </c>
      <c r="I21" s="16" t="n">
        <f aca="false">MAX(0,-I20)</f>
        <v>16.6684705901429</v>
      </c>
      <c r="J21" s="16" t="n">
        <f aca="false">MAX(0,-J20)</f>
        <v>67.9671059374352</v>
      </c>
      <c r="K21" s="16" t="n">
        <f aca="false">MAX(0,-K20)</f>
        <v>69.1886487419278</v>
      </c>
      <c r="L21" s="16" t="n">
        <f aca="false">MAX(0,-L20)</f>
        <v>54.9212850410666</v>
      </c>
      <c r="M21" s="16" t="n">
        <f aca="false">MAX(0,-M20)</f>
        <v>44.8194451264505</v>
      </c>
      <c r="N21" s="16" t="n">
        <f aca="false">MAX(0,-N20)</f>
        <v>37.3066674070425</v>
      </c>
      <c r="O21" s="16" t="n">
        <f aca="false">MAX(0,-O20)</f>
        <v>28.4014930819223</v>
      </c>
      <c r="P21" s="16" t="n">
        <f aca="false">MAX(0,-P20)</f>
        <v>0</v>
      </c>
      <c r="Q21" s="16" t="n">
        <f aca="false">MAX(0,-Q20)</f>
        <v>0</v>
      </c>
      <c r="R21" s="16" t="n">
        <f aca="false">MAX(0,-R20)</f>
        <v>0</v>
      </c>
      <c r="S21" s="16" t="n">
        <f aca="false">MAX(0,-S20)</f>
        <v>0</v>
      </c>
      <c r="T21" s="16" t="n">
        <f aca="false">MAX(0,-T20)</f>
        <v>0</v>
      </c>
      <c r="U21" s="16" t="n">
        <f aca="false">MAX(0,-U20)</f>
        <v>0</v>
      </c>
      <c r="V21" s="16" t="n">
        <f aca="false">MAX(0,-V20)</f>
        <v>0</v>
      </c>
      <c r="W21" s="16" t="n">
        <f aca="false">MAX(0,-W20)</f>
        <v>0</v>
      </c>
      <c r="X21" s="16" t="n">
        <f aca="false">MAX(0,-X20)</f>
        <v>0</v>
      </c>
      <c r="Y21" s="16" t="n">
        <f aca="false">MAX(0,-Y20)</f>
        <v>0</v>
      </c>
      <c r="Z21" s="16" t="n">
        <f aca="false">MAX(0,-Z20)</f>
        <v>0</v>
      </c>
      <c r="AA21" s="16" t="n">
        <f aca="false">MAX(0,-AA20)</f>
        <v>0</v>
      </c>
      <c r="AB21" s="16" t="n">
        <f aca="false">MAX(0,-AB20)</f>
        <v>0</v>
      </c>
      <c r="AC21" s="16" t="n">
        <f aca="false">MAX(0,-AC20)</f>
        <v>0</v>
      </c>
      <c r="AD21" s="16" t="n">
        <f aca="false">MAX(0,-AD20)</f>
        <v>0</v>
      </c>
      <c r="AE21" s="16" t="n">
        <f aca="false">MAX(0,-AE20)</f>
        <v>0</v>
      </c>
      <c r="AF21" s="16" t="n">
        <f aca="false">MAX(0,-AF20)</f>
        <v>0</v>
      </c>
    </row>
    <row r="22" customFormat="false" ht="15" hidden="false" customHeight="false" outlineLevel="0" collapsed="false">
      <c r="A22" s="4" t="s">
        <v>201</v>
      </c>
      <c r="B22" s="8"/>
      <c r="C22" s="16" t="n">
        <f aca="false">-MIN(C18,MAX(0,C20))</f>
        <v>-0</v>
      </c>
      <c r="D22" s="16" t="n">
        <f aca="false">-MIN(D18,MAX(0,D20))</f>
        <v>-0</v>
      </c>
      <c r="E22" s="16" t="n">
        <f aca="false">-MIN(E18,MAX(0,E20))</f>
        <v>-0</v>
      </c>
      <c r="F22" s="16" t="n">
        <f aca="false">-MIN(F18,MAX(0,F20))</f>
        <v>-0</v>
      </c>
      <c r="G22" s="16" t="n">
        <f aca="false">-MIN(G18,MAX(0,G20))</f>
        <v>-0</v>
      </c>
      <c r="H22" s="16" t="n">
        <f aca="false">-MIN(H18,MAX(0,H20))</f>
        <v>-0</v>
      </c>
      <c r="I22" s="16" t="n">
        <f aca="false">-MIN(I18,MAX(0,I20))</f>
        <v>-0</v>
      </c>
      <c r="J22" s="16" t="n">
        <f aca="false">-MIN(J18,MAX(0,J20))</f>
        <v>-0</v>
      </c>
      <c r="K22" s="16" t="n">
        <f aca="false">-MIN(K18,MAX(0,K20))</f>
        <v>-0</v>
      </c>
      <c r="L22" s="16" t="n">
        <f aca="false">-MIN(L18,MAX(0,L20))</f>
        <v>-0</v>
      </c>
      <c r="M22" s="16" t="n">
        <f aca="false">-MIN(M18,MAX(0,M20))</f>
        <v>-0</v>
      </c>
      <c r="N22" s="16" t="n">
        <f aca="false">-MIN(N18,MAX(0,N20))</f>
        <v>-0</v>
      </c>
      <c r="O22" s="16" t="n">
        <f aca="false">-MIN(O18,MAX(0,O20))</f>
        <v>-0</v>
      </c>
      <c r="P22" s="16" t="n">
        <f aca="false">-MIN(P18,MAX(0,P20))</f>
        <v>-44.5669209632712</v>
      </c>
      <c r="Q22" s="16" t="n">
        <f aca="false">-MIN(Q18,MAX(0,Q20))</f>
        <v>-62.8459531948279</v>
      </c>
      <c r="R22" s="16" t="n">
        <f aca="false">-MIN(R18,MAX(0,R20))</f>
        <v>-81.6431975168477</v>
      </c>
      <c r="S22" s="16" t="n">
        <f aca="false">-MIN(S18,MAX(0,S20))</f>
        <v>-108.380567321144</v>
      </c>
      <c r="T22" s="16" t="n">
        <f aca="false">-MIN(T18,MAX(0,T20))</f>
        <v>-43.2205143870396</v>
      </c>
      <c r="U22" s="16" t="n">
        <f aca="false">-MIN(U18,MAX(0,U20))</f>
        <v>-0</v>
      </c>
      <c r="V22" s="16" t="n">
        <f aca="false">-MIN(V18,MAX(0,V20))</f>
        <v>-0</v>
      </c>
      <c r="W22" s="16" t="n">
        <f aca="false">-MIN(W18,MAX(0,W20))</f>
        <v>-0</v>
      </c>
      <c r="X22" s="16" t="n">
        <f aca="false">-MIN(X18,MAX(0,X20))</f>
        <v>-0</v>
      </c>
      <c r="Y22" s="16" t="n">
        <f aca="false">-MIN(Y18,MAX(0,Y20))</f>
        <v>-0</v>
      </c>
      <c r="Z22" s="16" t="n">
        <f aca="false">-MIN(Z18,MAX(0,Z20))</f>
        <v>-0</v>
      </c>
      <c r="AA22" s="16" t="n">
        <f aca="false">-MIN(AA18,MAX(0,AA20))</f>
        <v>-0</v>
      </c>
      <c r="AB22" s="16" t="n">
        <f aca="false">-MIN(AB18,MAX(0,AB20))</f>
        <v>-0</v>
      </c>
      <c r="AC22" s="16" t="n">
        <f aca="false">-MIN(AC18,MAX(0,AC20))</f>
        <v>-0</v>
      </c>
      <c r="AD22" s="16" t="n">
        <f aca="false">-MIN(AD18,MAX(0,AD20))</f>
        <v>-0</v>
      </c>
      <c r="AE22" s="16" t="n">
        <f aca="false">-MIN(AE18,MAX(0,AE20))</f>
        <v>-0</v>
      </c>
      <c r="AF22" s="16" t="n">
        <f aca="false">-MIN(AF18,MAX(0,AF20))</f>
        <v>-0</v>
      </c>
    </row>
    <row r="23" customFormat="false" ht="15" hidden="false" customHeight="false" outlineLevel="0" collapsed="false">
      <c r="A23" s="5" t="s">
        <v>202</v>
      </c>
      <c r="B23" s="8"/>
      <c r="C23" s="20" t="n">
        <f aca="false">C18+C21+C22</f>
        <v>0</v>
      </c>
      <c r="D23" s="20" t="n">
        <f aca="false">D18+D21+D22</f>
        <v>0</v>
      </c>
      <c r="E23" s="20" t="n">
        <f aca="false">E18+E21+E22</f>
        <v>0</v>
      </c>
      <c r="F23" s="20" t="n">
        <f aca="false">F18+F21+F22</f>
        <v>1.08828571428566</v>
      </c>
      <c r="G23" s="20" t="n">
        <f aca="false">G18+G21+G22</f>
        <v>8.38049142857138</v>
      </c>
      <c r="H23" s="20" t="n">
        <f aca="false">H18+H21+H22</f>
        <v>21.3840374571428</v>
      </c>
      <c r="I23" s="20" t="n">
        <f aca="false">I18+I21+I22</f>
        <v>38.0525080472857</v>
      </c>
      <c r="J23" s="20" t="n">
        <f aca="false">J18+J21+J22</f>
        <v>106.019613984721</v>
      </c>
      <c r="K23" s="20" t="n">
        <f aca="false">K18+K21+K22</f>
        <v>175.208262726649</v>
      </c>
      <c r="L23" s="20" t="n">
        <f aca="false">L18+L21+L22</f>
        <v>230.129547767715</v>
      </c>
      <c r="M23" s="20" t="n">
        <f aca="false">M18+M21+M22</f>
        <v>274.948992894166</v>
      </c>
      <c r="N23" s="20" t="n">
        <f aca="false">N18+N21+N22</f>
        <v>312.255660301208</v>
      </c>
      <c r="O23" s="20" t="n">
        <f aca="false">O18+O21+O22</f>
        <v>340.657153383131</v>
      </c>
      <c r="P23" s="20" t="n">
        <f aca="false">P18+P21+P22</f>
        <v>296.090232419859</v>
      </c>
      <c r="Q23" s="20" t="n">
        <f aca="false">Q18+Q21+Q22</f>
        <v>233.244279225031</v>
      </c>
      <c r="R23" s="20" t="n">
        <f aca="false">R18+R21+R22</f>
        <v>151.601081708184</v>
      </c>
      <c r="S23" s="20" t="n">
        <f aca="false">S18+S21+S22</f>
        <v>43.2205143870396</v>
      </c>
      <c r="T23" s="20" t="n">
        <f aca="false">T18+T21+T22</f>
        <v>0</v>
      </c>
      <c r="U23" s="20" t="n">
        <f aca="false">U18+U21+U22</f>
        <v>0</v>
      </c>
      <c r="V23" s="20" t="n">
        <f aca="false">V18+V21+V22</f>
        <v>0</v>
      </c>
      <c r="W23" s="20" t="n">
        <f aca="false">W18+W21+W22</f>
        <v>0</v>
      </c>
      <c r="X23" s="20" t="n">
        <f aca="false">X18+X21+X22</f>
        <v>0</v>
      </c>
      <c r="Y23" s="20" t="n">
        <f aca="false">Y18+Y21+Y22</f>
        <v>0</v>
      </c>
      <c r="Z23" s="20" t="n">
        <f aca="false">Z18+Z21+Z22</f>
        <v>0</v>
      </c>
      <c r="AA23" s="20" t="n">
        <f aca="false">AA18+AA21+AA22</f>
        <v>0</v>
      </c>
      <c r="AB23" s="20" t="n">
        <f aca="false">AB18+AB21+AB22</f>
        <v>0</v>
      </c>
      <c r="AC23" s="20" t="n">
        <f aca="false">AC18+AC21+AC22</f>
        <v>0</v>
      </c>
      <c r="AD23" s="20" t="n">
        <f aca="false">AD18+AD21+AD22</f>
        <v>0</v>
      </c>
      <c r="AE23" s="20" t="n">
        <f aca="false">AE18+AE21+AE22</f>
        <v>0</v>
      </c>
      <c r="AF23" s="20" t="n">
        <f aca="false">AF18+AF21+AF22</f>
        <v>0</v>
      </c>
    </row>
    <row r="24" customFormat="false" ht="15" hidden="false" customHeight="false" outlineLevel="0" collapsed="false">
      <c r="A24" s="17" t="s">
        <v>203</v>
      </c>
      <c r="B24" s="18"/>
      <c r="C24" s="19" t="n">
        <f aca="false">C20+C21+C22</f>
        <v>19.58</v>
      </c>
      <c r="D24" s="19" t="n">
        <f aca="false">D20+D21+D22</f>
        <v>26.6745714285715</v>
      </c>
      <c r="E24" s="19" t="n">
        <f aca="false">E20+E21+E22</f>
        <v>17.9837142857143</v>
      </c>
      <c r="F24" s="19" t="n">
        <f aca="false">F20+F21+F22</f>
        <v>0</v>
      </c>
      <c r="G24" s="19" t="n">
        <f aca="false">G20+G21+G22</f>
        <v>0</v>
      </c>
      <c r="H24" s="19" t="n">
        <f aca="false">H20+H21+H22</f>
        <v>0</v>
      </c>
      <c r="I24" s="19" t="n">
        <f aca="false">I20+I21+I22</f>
        <v>0</v>
      </c>
      <c r="J24" s="19" t="n">
        <f aca="false">J20+J21+J22</f>
        <v>0</v>
      </c>
      <c r="K24" s="19" t="n">
        <f aca="false">K20+K21+K22</f>
        <v>0</v>
      </c>
      <c r="L24" s="19" t="n">
        <f aca="false">L20+L21+L22</f>
        <v>0</v>
      </c>
      <c r="M24" s="19" t="n">
        <f aca="false">M20+M21+M22</f>
        <v>0</v>
      </c>
      <c r="N24" s="19" t="n">
        <f aca="false">N20+N21+N22</f>
        <v>0</v>
      </c>
      <c r="O24" s="19" t="n">
        <f aca="false">O20+O21+O22</f>
        <v>0</v>
      </c>
      <c r="P24" s="19" t="n">
        <f aca="false">P20+P21+P22</f>
        <v>0</v>
      </c>
      <c r="Q24" s="19" t="n">
        <f aca="false">Q20+Q21+Q22</f>
        <v>0</v>
      </c>
      <c r="R24" s="19" t="n">
        <f aca="false">R20+R21+R22</f>
        <v>0</v>
      </c>
      <c r="S24" s="19" t="n">
        <f aca="false">S20+S21+S22</f>
        <v>0</v>
      </c>
      <c r="T24" s="19" t="n">
        <f aca="false">T20+T21+T22</f>
        <v>86.6586930761256</v>
      </c>
      <c r="U24" s="19" t="n">
        <f aca="false">U20+U21+U22</f>
        <v>233.312135664584</v>
      </c>
      <c r="V24" s="19" t="n">
        <f aca="false">V20+V21+V22</f>
        <v>452.726869160376</v>
      </c>
      <c r="W24" s="19" t="n">
        <f aca="false">W20+W21+W22</f>
        <v>683.219887480749</v>
      </c>
      <c r="X24" s="19" t="n">
        <f aca="false">X20+X21+X22</f>
        <v>925.368022393389</v>
      </c>
      <c r="Y24" s="19" t="n">
        <f aca="false">Y20+Y21+Y22</f>
        <v>1179.78131950639</v>
      </c>
      <c r="Z24" s="19" t="n">
        <f aca="false">Z20+Z21+Z22</f>
        <v>1447.10511489556</v>
      </c>
      <c r="AA24" s="19" t="n">
        <f aca="false">AA20+AA21+AA22</f>
        <v>1728.0222499101</v>
      </c>
      <c r="AB24" s="19" t="n">
        <f aca="false">AB20+AB21+AB22</f>
        <v>2023.25543376932</v>
      </c>
      <c r="AC24" s="19" t="n">
        <f aca="false">AC20+AC21+AC22</f>
        <v>2333.56976425276</v>
      </c>
      <c r="AD24" s="19" t="n">
        <f aca="false">AD20+AD21+AD22</f>
        <v>2659.77541752702</v>
      </c>
      <c r="AE24" s="19" t="n">
        <f aca="false">AE20+AE21+AE22</f>
        <v>3002.73051894741</v>
      </c>
      <c r="AF24" s="19" t="n">
        <f aca="false">AF20+AF21+AF22</f>
        <v>3363.34420752635</v>
      </c>
    </row>
    <row r="26" customFormat="false" ht="15" hidden="false" customHeight="false" outlineLevel="0" collapsed="false">
      <c r="A26" s="4" t="s">
        <v>204</v>
      </c>
      <c r="B26" s="8" t="s">
        <v>205</v>
      </c>
      <c r="C26" s="16" t="n">
        <f aca="false">C16-2*C11</f>
        <v>-82.1342857142857</v>
      </c>
      <c r="D26" s="16" t="n">
        <f aca="false">D16-2*D11</f>
        <v>-94.6197142857143</v>
      </c>
      <c r="E26" s="16" t="n">
        <f aca="false">E16-2*E11</f>
        <v>-93.2622857142857</v>
      </c>
      <c r="F26" s="16" t="n">
        <f aca="false">F16-2*F11</f>
        <v>-103.643428571429</v>
      </c>
      <c r="G26" s="16" t="n">
        <f aca="false">G16-2*G11</f>
        <v>-91.7765714285714</v>
      </c>
      <c r="H26" s="16" t="n">
        <f aca="false">H16-2*H11</f>
        <v>-94.4759638571429</v>
      </c>
      <c r="I26" s="16" t="n">
        <f aca="false">I16-2*I11</f>
        <v>-97.1006047364286</v>
      </c>
      <c r="J26" s="16" t="n">
        <f aca="false">J16-2*J11</f>
        <v>-147.06576243651</v>
      </c>
      <c r="K26" s="16" t="n">
        <f aca="false">K16-2*K11</f>
        <v>-142.849936766007</v>
      </c>
      <c r="L26" s="16" t="n">
        <f aca="false">L16-2*L11</f>
        <v>-101.61890973722</v>
      </c>
      <c r="M26" s="16" t="n">
        <f aca="false">M16-2*M11</f>
        <v>-87.123367019319</v>
      </c>
      <c r="N26" s="16" t="n">
        <f aca="false">N16-2*N11</f>
        <v>-76.0250336897949</v>
      </c>
      <c r="O26" s="16" t="n">
        <f aca="false">O16-2*O11</f>
        <v>-64.1353259721113</v>
      </c>
      <c r="P26" s="16" t="n">
        <f aca="false">P16-2*P11</f>
        <v>71.8194932339217</v>
      </c>
      <c r="Q26" s="16" t="n">
        <f aca="false">Q16-2*Q11</f>
        <v>86.5331717884167</v>
      </c>
      <c r="R26" s="16" t="n">
        <f aca="false">R16-2*R11</f>
        <v>100.30273985485</v>
      </c>
      <c r="S26" s="16" t="n">
        <f aca="false">S16-2*S11</f>
        <v>120.508653857799</v>
      </c>
      <c r="T26" s="16" t="n">
        <f aca="false">T16-2*T11</f>
        <v>133.336848614128</v>
      </c>
      <c r="U26" s="16" t="n">
        <f aca="false">U16-2*U11</f>
        <v>146.653442588459</v>
      </c>
      <c r="V26" s="16" t="n">
        <f aca="false">V16-2*V11</f>
        <v>219.414733495792</v>
      </c>
      <c r="W26" s="16" t="n">
        <f aca="false">W16-2*W11</f>
        <v>230.493018320372</v>
      </c>
      <c r="X26" s="16" t="n">
        <f aca="false">X16-2*X11</f>
        <v>242.14813491264</v>
      </c>
      <c r="Y26" s="16" t="n">
        <f aca="false">Y16-2*Y11</f>
        <v>254.413297113006</v>
      </c>
      <c r="Z26" s="16" t="n">
        <f aca="false">Z16-2*Z11</f>
        <v>267.323795389167</v>
      </c>
      <c r="AA26" s="16" t="n">
        <f aca="false">AA16-2*AA11</f>
        <v>280.917135014541</v>
      </c>
      <c r="AB26" s="16" t="n">
        <f aca="false">AB16-2*AB11</f>
        <v>295.233183859217</v>
      </c>
      <c r="AC26" s="16" t="n">
        <f aca="false">AC16-2*AC11</f>
        <v>310.31433048344</v>
      </c>
      <c r="AD26" s="16" t="n">
        <f aca="false">AD16-2*AD11</f>
        <v>326.205653274258</v>
      </c>
      <c r="AE26" s="16" t="n">
        <f aca="false">AE16-2*AE11</f>
        <v>342.955101420394</v>
      </c>
      <c r="AF26" s="16" t="n">
        <f aca="false">AF16-2*AF11</f>
        <v>360.613688578939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206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207</v>
      </c>
      <c r="B4" s="8"/>
      <c r="C4" s="23" t="n">
        <f aca="false">'Cash Flow'!C7</f>
        <v>-158.42</v>
      </c>
      <c r="D4" s="23" t="n">
        <f aca="false">'Cash Flow'!D7</f>
        <v>-161.09</v>
      </c>
      <c r="E4" s="23" t="n">
        <f aca="false">'Cash Flow'!E7</f>
        <v>-137.06</v>
      </c>
      <c r="F4" s="23" t="n">
        <f aca="false">'Cash Flow'!F7</f>
        <v>-139.28</v>
      </c>
      <c r="G4" s="23" t="n">
        <f aca="false">'Cash Flow'!G7</f>
        <v>-119.252</v>
      </c>
      <c r="H4" s="23" t="n">
        <f aca="false">'Cash Flow'!H7</f>
        <v>-83.218821</v>
      </c>
      <c r="I4" s="23" t="n">
        <f aca="false">'Cash Flow'!I7</f>
        <v>-79.929176165</v>
      </c>
      <c r="J4" s="23" t="n">
        <f aca="false">'Cash Flow'!J7</f>
        <v>-65.0514767222238</v>
      </c>
      <c r="K4" s="23" t="n">
        <f aca="false">'Cash Flow'!K7</f>
        <v>-59.6356510517215</v>
      </c>
      <c r="L4" s="23" t="n">
        <f aca="false">'Cash Flow'!L7</f>
        <v>46.009661691351</v>
      </c>
      <c r="M4" s="23" t="n">
        <f aca="false">'Cash Flow'!M7</f>
        <v>55.7909186949667</v>
      </c>
      <c r="N4" s="23" t="n">
        <f aca="false">'Cash Flow'!N7</f>
        <v>62.1749663102051</v>
      </c>
      <c r="O4" s="23" t="n">
        <f aca="false">'Cash Flow'!O7</f>
        <v>69.350388313603</v>
      </c>
      <c r="P4" s="23" t="n">
        <f aca="false">'Cash Flow'!P7</f>
        <v>170.233778948207</v>
      </c>
      <c r="Q4" s="23" t="n">
        <f aca="false">'Cash Flow'!Q7</f>
        <v>180.233171788417</v>
      </c>
      <c r="R4" s="23" t="n">
        <f aca="false">'Cash Flow'!R7</f>
        <v>189.288454140565</v>
      </c>
      <c r="S4" s="23" t="n">
        <f aca="false">'Cash Flow'!S7</f>
        <v>193.580082429227</v>
      </c>
      <c r="T4" s="23" t="n">
        <f aca="false">'Cash Flow'!T7</f>
        <v>201.693991471271</v>
      </c>
      <c r="U4" s="23" t="n">
        <f aca="false">'Cash Flow'!U7</f>
        <v>210.296299731316</v>
      </c>
      <c r="V4" s="23" t="n">
        <f aca="false">'Cash Flow'!V7</f>
        <v>219.414733495792</v>
      </c>
      <c r="W4" s="23" t="n">
        <f aca="false">'Cash Flow'!W7</f>
        <v>230.493018320372</v>
      </c>
      <c r="X4" s="23" t="n">
        <f aca="false">'Cash Flow'!X7</f>
        <v>242.14813491264</v>
      </c>
      <c r="Y4" s="23" t="n">
        <f aca="false">'Cash Flow'!Y7</f>
        <v>254.413297113006</v>
      </c>
      <c r="Z4" s="23" t="n">
        <f aca="false">'Cash Flow'!Z7</f>
        <v>267.323795389167</v>
      </c>
      <c r="AA4" s="23" t="n">
        <f aca="false">'Cash Flow'!AA7</f>
        <v>280.917135014541</v>
      </c>
      <c r="AB4" s="23" t="n">
        <f aca="false">'Cash Flow'!AB7</f>
        <v>295.233183859217</v>
      </c>
      <c r="AC4" s="23" t="n">
        <f aca="false">'Cash Flow'!AC7</f>
        <v>310.31433048344</v>
      </c>
      <c r="AD4" s="23" t="n">
        <f aca="false">'Cash Flow'!AD7</f>
        <v>326.205653274258</v>
      </c>
      <c r="AE4" s="23" t="n">
        <f aca="false">'Cash Flow'!AE7</f>
        <v>342.955101420394</v>
      </c>
      <c r="AF4" s="23" t="n">
        <f aca="false">'Cash Flow'!AF7</f>
        <v>360.613688578939</v>
      </c>
    </row>
    <row r="5" customFormat="false" ht="15" hidden="false" customHeight="false" outlineLevel="0" collapsed="false">
      <c r="A5" s="4" t="s">
        <v>208</v>
      </c>
      <c r="B5" s="8"/>
      <c r="C5" s="16" t="n">
        <f aca="false">0.85*('P&amp;L'!C6+Opex!C7)-Opex!C7-Capex!C10</f>
        <v>-180.67</v>
      </c>
      <c r="D5" s="16" t="n">
        <f aca="false">0.85*('P&amp;L'!D6+Opex!D7)-Opex!D7-Capex!D10</f>
        <v>-183.34</v>
      </c>
      <c r="E5" s="16" t="n">
        <f aca="false">0.85*('P&amp;L'!E6+Opex!E7)-Opex!E7-Capex!E10</f>
        <v>-155.56</v>
      </c>
      <c r="F5" s="16" t="n">
        <f aca="false">0.85*('P&amp;L'!F6+Opex!F7)-Opex!F7-Capex!F10</f>
        <v>-157.78</v>
      </c>
      <c r="G5" s="16" t="n">
        <f aca="false">0.85*('P&amp;L'!G6+Opex!G7)-Opex!G7-Capex!G10</f>
        <v>-141.0892</v>
      </c>
      <c r="H5" s="16" t="n">
        <f aca="false">0.85*('P&amp;L'!H6+Opex!H7)-Opex!H7-Capex!H10</f>
        <v>-110.91337285</v>
      </c>
      <c r="I5" s="16" t="n">
        <f aca="false">0.85*('P&amp;L'!I6+Opex!I7)-Opex!I7-Capex!I10</f>
        <v>-108.67747161525</v>
      </c>
      <c r="J5" s="16" t="n">
        <f aca="false">0.85*('P&amp;L'!J6+Opex!J7)-Opex!J7-Capex!J10</f>
        <v>-96.5949583388902</v>
      </c>
      <c r="K5" s="16" t="n">
        <f aca="false">0.85*('P&amp;L'!K6+Opex!K7)-Opex!K7-Capex!K10</f>
        <v>-92.5582721439633</v>
      </c>
      <c r="L5" s="16" t="n">
        <f aca="false">0.85*('P&amp;L'!L6+Opex!L7)-Opex!L7-Capex!L10</f>
        <v>18.3710528445997</v>
      </c>
      <c r="M5" s="16" t="n">
        <f aca="false">0.85*('P&amp;L'!M6+Opex!M7)-Opex!M7-Capex!M10</f>
        <v>30.1568748056228</v>
      </c>
      <c r="N5" s="16" t="n">
        <f aca="false">0.85*('P&amp;L'!N6+Opex!N7)-Opex!N7-Capex!N10</f>
        <v>37.799641170045</v>
      </c>
      <c r="O5" s="16" t="n">
        <f aca="false">0.85*('P&amp;L'!O6+Opex!O7)-Opex!O7-Capex!O10</f>
        <v>46.3854893808036</v>
      </c>
      <c r="P5" s="16" t="n">
        <f aca="false">0.85*('P&amp;L'!P6+Opex!P7)-Opex!P7-Capex!P10</f>
        <v>163.888364233027</v>
      </c>
      <c r="Q5" s="16" t="n">
        <f aca="false">0.85*('P&amp;L'!Q6+Opex!Q7)-Opex!Q7-Capex!Q10</f>
        <v>177.445045334914</v>
      </c>
      <c r="R5" s="16" t="n">
        <f aca="false">0.85*('P&amp;L'!R6+Opex!R7)-Opex!R7-Capex!R10</f>
        <v>189.855306558441</v>
      </c>
      <c r="S5" s="16" t="n">
        <f aca="false">0.85*('P&amp;L'!S6+Opex!S7)-Opex!S7-Capex!S10</f>
        <v>200.561130704878</v>
      </c>
      <c r="T5" s="16" t="n">
        <f aca="false">0.85*('P&amp;L'!T6+Opex!T7)-Opex!T7-Capex!T10</f>
        <v>211.828295766136</v>
      </c>
      <c r="U5" s="16" t="n">
        <f aca="false">0.85*('P&amp;L'!U6+Opex!U7)-Opex!U7-Capex!U10</f>
        <v>223.68851702068</v>
      </c>
      <c r="V5" s="16" t="n">
        <f aca="false">0.85*('P&amp;L'!V6+Opex!V7)-Opex!V7-Capex!V10</f>
        <v>236.175462102033</v>
      </c>
      <c r="W5" s="16" t="n">
        <f aca="false">0.85*('P&amp;L'!W6+Opex!W7)-Opex!W7-Capex!W10</f>
        <v>249.324879389023</v>
      </c>
      <c r="X5" s="16" t="n">
        <f aca="false">0.85*('P&amp;L'!X6+Opex!X7)-Opex!X7-Capex!X10</f>
        <v>263.174735251063</v>
      </c>
      <c r="Y5" s="16" t="n">
        <f aca="false">0.85*('P&amp;L'!Y6+Opex!Y7)-Opex!Y7-Capex!Y10</f>
        <v>277.765360780078</v>
      </c>
      <c r="Z5" s="16" t="n">
        <f aca="false">0.85*('P&amp;L'!Z6+Opex!Z7)-Opex!Z7-Capex!Z10</f>
        <v>293.139608686846</v>
      </c>
      <c r="AA5" s="16" t="n">
        <f aca="false">0.85*('P&amp;L'!AA6+Opex!AA7)-Opex!AA7-Capex!AA10</f>
        <v>309.343021089085</v>
      </c>
      <c r="AB5" s="16" t="n">
        <f aca="false">0.85*('P&amp;L'!AB6+Opex!AB7)-Opex!AB7-Capex!AB10</f>
        <v>326.424008971906</v>
      </c>
      <c r="AC5" s="16" t="n">
        <f aca="false">0.85*('P&amp;L'!AC6+Opex!AC7)-Opex!AC7-Capex!AC10</f>
        <v>344.434044158463</v>
      </c>
      <c r="AD5" s="16" t="n">
        <f aca="false">0.85*('P&amp;L'!AD6+Opex!AD7)-Opex!AD7-Capex!AD10</f>
        <v>363.42786469017</v>
      </c>
      <c r="AE5" s="16" t="n">
        <f aca="false">0.85*('P&amp;L'!AE6+Opex!AE7)-Opex!AE7-Capex!AE10</f>
        <v>383.463694581907</v>
      </c>
      <c r="AF5" s="16" t="n">
        <f aca="false">0.85*('P&amp;L'!AF6+Opex!AF7)-Opex!AF7-Capex!AF10</f>
        <v>404.603478988712</v>
      </c>
    </row>
    <row r="6" customFormat="false" ht="15" hidden="false" customHeight="false" outlineLevel="0" collapsed="false">
      <c r="A6" s="4" t="s">
        <v>209</v>
      </c>
      <c r="B6" s="8"/>
      <c r="C6" s="16" t="n">
        <f aca="false">1.15*('P&amp;L'!C6+Opex!C7)-Opex!C7-Capex!C10</f>
        <v>-180.67</v>
      </c>
      <c r="D6" s="16" t="n">
        <f aca="false">1.15*('P&amp;L'!D6+Opex!D7)-Opex!D7-Capex!D10</f>
        <v>-183.34</v>
      </c>
      <c r="E6" s="16" t="n">
        <f aca="false">1.15*('P&amp;L'!E6+Opex!E7)-Opex!E7-Capex!E10</f>
        <v>-155.56</v>
      </c>
      <c r="F6" s="16" t="n">
        <f aca="false">1.15*('P&amp;L'!F6+Opex!F7)-Opex!F7-Capex!F10</f>
        <v>-157.78</v>
      </c>
      <c r="G6" s="16" t="n">
        <f aca="false">1.15*('P&amp;L'!G6+Opex!G7)-Opex!G7-Capex!G10</f>
        <v>-134.4148</v>
      </c>
      <c r="H6" s="16" t="n">
        <f aca="false">1.15*('P&amp;L'!H6+Opex!H7)-Opex!H7-Capex!H10</f>
        <v>-91.46176915</v>
      </c>
      <c r="I6" s="16" t="n">
        <f aca="false">1.15*('P&amp;L'!I6+Opex!I7)-Opex!I7-Capex!I10</f>
        <v>-87.11838071475</v>
      </c>
      <c r="J6" s="16" t="n">
        <f aca="false">1.15*('P&amp;L'!J6+Opex!J7)-Opex!J7-Capex!J10</f>
        <v>-69.4454951055574</v>
      </c>
      <c r="K6" s="16" t="n">
        <f aca="false">1.15*('P&amp;L'!K6+Opex!K7)-Opex!K7-Capex!K10</f>
        <v>-62.6505299594798</v>
      </c>
      <c r="L6" s="16" t="n">
        <f aca="false">1.15*('P&amp;L'!L6+Opex!L7)-Opex!L7-Capex!L10</f>
        <v>75.3376744368113</v>
      </c>
      <c r="M6" s="16" t="n">
        <f aca="false">1.15*('P&amp;L'!M6+Opex!M7)-Opex!M7-Capex!M10</f>
        <v>92.2991173840779</v>
      </c>
      <c r="N6" s="16" t="n">
        <f aca="false">1.15*('P&amp;L'!N6+Opex!N7)-Opex!N7-Capex!N10</f>
        <v>103.660874818296</v>
      </c>
      <c r="O6" s="16" t="n">
        <f aca="false">1.15*('P&amp;L'!O6+Opex!O7)-Opex!O7-Capex!O10</f>
        <v>116.304191515205</v>
      </c>
      <c r="P6" s="16" t="n">
        <f aca="false">1.15*('P&amp;L'!P6+Opex!P7)-Opex!P7-Capex!P10</f>
        <v>238.248963374096</v>
      </c>
      <c r="Q6" s="16" t="n">
        <f aca="false">1.15*('P&amp;L'!Q6+Opex!Q7)-Opex!Q7-Capex!Q10</f>
        <v>256.685649570766</v>
      </c>
      <c r="R6" s="16" t="n">
        <f aca="false">1.15*('P&amp;L'!R6+Opex!R7)-Opex!R7-Capex!R10</f>
        <v>273.571297108478</v>
      </c>
      <c r="S6" s="16" t="n">
        <f aca="false">1.15*('P&amp;L'!S6+Opex!S7)-Opex!S7-Capex!S10</f>
        <v>288.150941541894</v>
      </c>
      <c r="T6" s="16" t="n">
        <f aca="false">1.15*('P&amp;L'!T6+Opex!T7)-Opex!T7-Capex!T10</f>
        <v>303.490047213007</v>
      </c>
      <c r="U6" s="16" t="n">
        <f aca="false">1.15*('P&amp;L'!U6+Opex!U7)-Opex!U7-Capex!U10</f>
        <v>319.631523027978</v>
      </c>
      <c r="V6" s="16" t="n">
        <f aca="false">1.15*('P&amp;L'!V6+Opex!V7)-Opex!V7-Capex!V10</f>
        <v>336.620919314515</v>
      </c>
      <c r="W6" s="16" t="n">
        <f aca="false">1.15*('P&amp;L'!W6+Opex!W7)-Opex!W7-Capex!W10</f>
        <v>354.506601526326</v>
      </c>
      <c r="X6" s="16" t="n">
        <f aca="false">1.15*('P&amp;L'!X6+Opex!X7)-Opex!X7-Capex!X10</f>
        <v>373.339935927909</v>
      </c>
      <c r="Y6" s="16" t="n">
        <f aca="false">1.15*('P&amp;L'!Y6+Opex!Y7)-Opex!Y7-Capex!Y10</f>
        <v>393.175488114224</v>
      </c>
      <c r="Z6" s="16" t="n">
        <f aca="false">1.15*('P&amp;L'!Z6+Opex!Z7)-Opex!Z7-Capex!Z10</f>
        <v>414.071235282204</v>
      </c>
      <c r="AA6" s="16" t="n">
        <f aca="false">1.15*('P&amp;L'!AA6+Opex!AA7)-Opex!AA7-Capex!AA10</f>
        <v>436.088793238174</v>
      </c>
      <c r="AB6" s="16" t="n">
        <f aca="false">1.15*('P&amp;L'!AB6+Opex!AB7)-Opex!AB7-Capex!AB10</f>
        <v>459.293659197285</v>
      </c>
      <c r="AC6" s="16" t="n">
        <f aca="false">1.15*('P&amp;L'!AC6+Opex!AC7)-Opex!AC7-Capex!AC10</f>
        <v>483.755471508509</v>
      </c>
      <c r="AD6" s="16" t="n">
        <f aca="false">1.15*('P&amp;L'!AD6+Opex!AD7)-Opex!AD7-Capex!AD10</f>
        <v>509.548287521995</v>
      </c>
      <c r="AE6" s="16" t="n">
        <f aca="false">1.15*('P&amp;L'!AE6+Opex!AE7)-Opex!AE7-Capex!AE10</f>
        <v>536.750880904933</v>
      </c>
      <c r="AF6" s="16" t="n">
        <f aca="false">1.15*('P&amp;L'!AF6+Opex!AF7)-Opex!AF7-Capex!AF10</f>
        <v>565.447059808258</v>
      </c>
    </row>
    <row r="9" customFormat="false" ht="15" hidden="false" customHeight="false" outlineLevel="0" collapsed="false">
      <c r="A9" s="5" t="s">
        <v>210</v>
      </c>
    </row>
    <row r="10" customFormat="false" ht="15" hidden="false" customHeight="false" outlineLevel="0" collapsed="false">
      <c r="A10" s="4" t="s">
        <v>211</v>
      </c>
      <c r="C10" s="26" t="n">
        <f aca="false">IRR(C4:AF4)</f>
        <v>0.0906358236460269</v>
      </c>
    </row>
    <row r="11" customFormat="false" ht="15" hidden="false" customHeight="false" outlineLevel="0" collapsed="false">
      <c r="A11" s="4" t="s">
        <v>212</v>
      </c>
      <c r="C11" s="26" t="n">
        <f aca="false">IRR(C5:AF5)</f>
        <v>0.0789949265609603</v>
      </c>
    </row>
    <row r="12" customFormat="false" ht="15" hidden="false" customHeight="false" outlineLevel="0" collapsed="false">
      <c r="A12" s="4" t="s">
        <v>213</v>
      </c>
      <c r="C12" s="26" t="n">
        <f aca="false">IRR(C6:AF6)</f>
        <v>0.111710443066523</v>
      </c>
    </row>
    <row r="13" customFormat="false" ht="15" hidden="false" customHeight="false" outlineLevel="0" collapsed="false">
      <c r="A13" s="4" t="s">
        <v>214</v>
      </c>
      <c r="C13" s="19" t="n">
        <f aca="false">NPV(Assumptions!$B$67,C4:AF4)</f>
        <v>-89.2735662868594</v>
      </c>
    </row>
    <row r="14" customFormat="false" ht="15" hidden="false" customHeight="false" outlineLevel="0" collapsed="false">
      <c r="A14" s="4" t="s">
        <v>215</v>
      </c>
      <c r="C14" s="26" t="n">
        <f aca="false">IRR('Cash Flow'!C26:AF26)</f>
        <v>0.0669101206531596</v>
      </c>
    </row>
    <row r="15" customFormat="false" ht="15" hidden="false" customHeight="false" outlineLevel="0" collapsed="false">
      <c r="A15" s="4" t="s">
        <v>216</v>
      </c>
      <c r="C15" s="27" t="n">
        <f aca="false">COUNTIF('Cash Flow'!C8:AF8,"&lt;0")</f>
        <v>17</v>
      </c>
    </row>
    <row r="16" customFormat="false" ht="15" hidden="false" customHeight="false" outlineLevel="0" collapsed="false">
      <c r="A16" s="4" t="s">
        <v>217</v>
      </c>
      <c r="C16" s="19" t="n">
        <f aca="false">Revenue!P21</f>
        <v>583.592776973283</v>
      </c>
    </row>
    <row r="17" customFormat="false" ht="15" hidden="false" customHeight="false" outlineLevel="0" collapsed="false">
      <c r="A17" s="4" t="s">
        <v>218</v>
      </c>
      <c r="C17" s="19" t="n">
        <f aca="false">Revenue!Z21</f>
        <v>930.167584223734</v>
      </c>
    </row>
    <row r="18" customFormat="false" ht="15" hidden="false" customHeight="false" outlineLevel="0" collapsed="false">
      <c r="A18" s="4" t="s">
        <v>219</v>
      </c>
      <c r="C18" s="26" t="n">
        <f aca="false">'P&amp;L'!P7</f>
        <v>0.375379326899364</v>
      </c>
    </row>
    <row r="19" customFormat="false" ht="15" hidden="false" customHeight="false" outlineLevel="0" collapsed="false">
      <c r="A19" s="4" t="s">
        <v>220</v>
      </c>
      <c r="C19" s="19" t="n">
        <f aca="false">MAX('Cash Flow'!C23:AF23)</f>
        <v>340.657153383131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2026-07-30T06:20:10Z</dcterms:created>
  <dc:creator>openpyxl</dc:creator>
  <dc:description/>
  <dc:language>en-US</dc:language>
  <cp:lastModifiedBy/>
  <dcterms:modified xsi:type="dcterms:W3CDTF">2026-07-30T06:20:10Z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